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X:\H DATA\DEEP 2024\SOCIETY RETURN\MOGS\MOGS FINAL 23-24\INCOME AND EXPENDITURE 29-2-2024 final\FINAL 31-08-2023 FIANL income &amp; expediture sumt changes\abirdge balance sheet and incoem and expenditure 23-24\MARGE FINAL\"/>
    </mc:Choice>
  </mc:AlternateContent>
  <xr:revisionPtr revIDLastSave="0" documentId="13_ncr:1_{0ED0A871-CD19-46E5-B32A-65C5D12347FB}" xr6:coauthVersionLast="47" xr6:coauthVersionMax="47" xr10:uidLastSave="{00000000-0000-0000-0000-000000000000}"/>
  <bookViews>
    <workbookView xWindow="-120" yWindow="-120" windowWidth="20730" windowHeight="11040" tabRatio="768" firstSheet="3" activeTab="10" xr2:uid="{00000000-000D-0000-FFFF-FFFF00000000}"/>
  </bookViews>
  <sheets>
    <sheet name="Auditor's Report" sheetId="16" state="hidden" r:id="rId1"/>
    <sheet name="sch ix c" sheetId="17" state="hidden" r:id="rId2"/>
    <sheet name="Sch A" sheetId="10" state="hidden" r:id="rId3"/>
    <sheet name="ix c" sheetId="21" r:id="rId4"/>
    <sheet name="BalanceSheet" sheetId="4" r:id="rId5"/>
    <sheet name="A SCh" sheetId="18" state="hidden" r:id="rId6"/>
    <sheet name="schhA" sheetId="24" r:id="rId7"/>
    <sheet name="Sch B " sheetId="12" r:id="rId8"/>
    <sheet name="Sch C" sheetId="8" r:id="rId9"/>
    <sheet name="Sch D" sheetId="3" r:id="rId10"/>
    <sheet name="Sch E,F" sheetId="7" r:id="rId11"/>
    <sheet name="notes" sheetId="23" r:id="rId12"/>
    <sheet name="ratio" sheetId="19" state="hidden" r:id="rId13"/>
    <sheet name="Sheet2" sheetId="20" state="hidden" r:id="rId14"/>
    <sheet name="MOGS NOTES" sheetId="11" state="hidden" r:id="rId15"/>
    <sheet name="int detail" sheetId="14" state="hidden" r:id="rId16"/>
    <sheet name="Sheet1" sheetId="15" state="hidden" r:id="rId17"/>
  </sheets>
  <externalReferences>
    <externalReference r:id="rId18"/>
  </externalReferences>
  <definedNames>
    <definedName name="_xlnm._FilterDatabase" localSheetId="2" hidden="1">'Sch A'!$A$1:$N$781</definedName>
    <definedName name="_xlnm.Print_Area" localSheetId="5">'A SCh'!$A$1:$H$855</definedName>
    <definedName name="_xlnm.Print_Area" localSheetId="0">'Auditor''s Report'!$A$1:$J$59</definedName>
    <definedName name="_xlnm.Print_Area" localSheetId="4">BalanceSheet!$A$1:$O$71</definedName>
    <definedName name="_xlnm.Print_Area" localSheetId="15">'int detail'!$A$1:$G$38</definedName>
    <definedName name="_xlnm.Print_Area" localSheetId="3">'ix c'!$A$1:$H$66</definedName>
    <definedName name="_xlnm.Print_Area" localSheetId="14">'MOGS NOTES'!$A$1:$J$49</definedName>
    <definedName name="_xlnm.Print_Area" localSheetId="2">'Sch A'!$A$1:$K$811</definedName>
    <definedName name="_xlnm.Print_Area" localSheetId="7">'Sch B '!$A$1:$J$36</definedName>
    <definedName name="_xlnm.Print_Area" localSheetId="8">'Sch C'!$A$1:$I$260</definedName>
    <definedName name="_xlnm.Print_Area" localSheetId="10">'Sch E,F'!$A$1:$J$68</definedName>
    <definedName name="_xlnm.Print_Area" localSheetId="1">'sch ix c'!$A$1:$H$65</definedName>
    <definedName name="_xlnm.Print_Area" localSheetId="6">schhA!$A$1:$H$867</definedName>
    <definedName name="_xlnm.Print_Titles" localSheetId="2">'Sch A'!$2:$6</definedName>
  </definedNames>
  <calcPr calcId="191029" iterate="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9" i="7" l="1"/>
  <c r="F18" i="4" l="1"/>
  <c r="H17" i="8" l="1"/>
  <c r="J13" i="7"/>
  <c r="J35" i="7" l="1"/>
  <c r="F767" i="24"/>
  <c r="J782" i="24"/>
  <c r="F33" i="4"/>
  <c r="I735" i="24"/>
  <c r="I739" i="24"/>
  <c r="H801" i="24"/>
  <c r="I768" i="24"/>
  <c r="G782" i="24"/>
  <c r="F780" i="24"/>
  <c r="I756" i="24"/>
  <c r="J757" i="24"/>
  <c r="F762" i="24"/>
  <c r="G764" i="24"/>
  <c r="G772" i="24" l="1"/>
  <c r="I869" i="24" l="1"/>
  <c r="J40" i="12"/>
  <c r="H231" i="24"/>
  <c r="H162" i="24"/>
  <c r="K242" i="24"/>
  <c r="H218" i="24"/>
  <c r="H148" i="24"/>
  <c r="L6" i="7" l="1"/>
  <c r="N11" i="7"/>
  <c r="F831" i="24"/>
  <c r="F833" i="24" s="1"/>
  <c r="G835" i="24" s="1"/>
  <c r="G826" i="24"/>
  <c r="G808" i="24"/>
  <c r="I848" i="24"/>
  <c r="I849" i="24" s="1"/>
  <c r="I851" i="24" s="1"/>
  <c r="J853" i="24" s="1"/>
  <c r="J844" i="24"/>
  <c r="F814" i="24"/>
  <c r="F816" i="24" s="1"/>
  <c r="G818" i="24" s="1"/>
  <c r="F787" i="24"/>
  <c r="G791" i="24" s="1"/>
  <c r="F799" i="24"/>
  <c r="G801" i="24" s="1"/>
  <c r="H835" i="24" l="1"/>
  <c r="K853" i="24"/>
  <c r="H818" i="24"/>
  <c r="I64" i="7" l="1"/>
  <c r="N6" i="7" l="1"/>
  <c r="I63" i="7" l="1"/>
  <c r="J66" i="7" s="1"/>
  <c r="I257" i="8"/>
  <c r="I251" i="8"/>
  <c r="I68" i="8"/>
  <c r="I172" i="8"/>
  <c r="I248" i="8"/>
  <c r="I254" i="8"/>
  <c r="I245" i="8"/>
  <c r="H16" i="8"/>
  <c r="I20" i="8" s="1"/>
  <c r="F94" i="24" l="1"/>
  <c r="F96" i="24" s="1"/>
  <c r="G98" i="24" s="1"/>
  <c r="G88" i="24"/>
  <c r="F50" i="24"/>
  <c r="F52" i="24" s="1"/>
  <c r="G44" i="24"/>
  <c r="F20" i="24"/>
  <c r="F226" i="24"/>
  <c r="F227" i="24" s="1"/>
  <c r="F229" i="24" s="1"/>
  <c r="G231" i="24" s="1"/>
  <c r="H98" i="24" l="1"/>
  <c r="G466" i="24"/>
  <c r="F778" i="24"/>
  <c r="G754" i="24"/>
  <c r="H764" i="24" s="1"/>
  <c r="G738" i="24"/>
  <c r="F857" i="24"/>
  <c r="F859" i="24" s="1"/>
  <c r="G861" i="24" s="1"/>
  <c r="H861" i="24" s="1"/>
  <c r="G822" i="18"/>
  <c r="G832" i="18"/>
  <c r="H832" i="18"/>
  <c r="H773" i="24"/>
  <c r="I773" i="24" s="1"/>
  <c r="F760" i="24"/>
  <c r="F744" i="24"/>
  <c r="F746" i="24" s="1"/>
  <c r="G748" i="24" s="1"/>
  <c r="F728" i="24"/>
  <c r="F730" i="24" s="1"/>
  <c r="G732" i="24" s="1"/>
  <c r="F716" i="24"/>
  <c r="G722" i="24" s="1"/>
  <c r="F707" i="24"/>
  <c r="F709" i="24" s="1"/>
  <c r="G711" i="24" s="1"/>
  <c r="H711" i="24" s="1"/>
  <c r="F695" i="24"/>
  <c r="F697" i="24" s="1"/>
  <c r="G698" i="24" s="1"/>
  <c r="G690" i="24"/>
  <c r="F680" i="24"/>
  <c r="G682" i="24" s="1"/>
  <c r="G673" i="24"/>
  <c r="F663" i="24"/>
  <c r="F665" i="24" s="1"/>
  <c r="G667" i="24" s="1"/>
  <c r="G658" i="24"/>
  <c r="F648" i="24"/>
  <c r="F650" i="24" s="1"/>
  <c r="G652" i="24" s="1"/>
  <c r="G643" i="24"/>
  <c r="F635" i="24"/>
  <c r="F637" i="24" s="1"/>
  <c r="G639" i="24" s="1"/>
  <c r="G630" i="24"/>
  <c r="F619" i="24"/>
  <c r="F621" i="24" s="1"/>
  <c r="G623" i="24" s="1"/>
  <c r="G614" i="24"/>
  <c r="F606" i="24"/>
  <c r="F608" i="24" s="1"/>
  <c r="G610" i="24" s="1"/>
  <c r="G601" i="24"/>
  <c r="F593" i="24"/>
  <c r="F595" i="24" s="1"/>
  <c r="G597" i="24" s="1"/>
  <c r="G588" i="24"/>
  <c r="F580" i="24"/>
  <c r="F582" i="24" s="1"/>
  <c r="G584" i="24" s="1"/>
  <c r="G575" i="24"/>
  <c r="G570" i="24"/>
  <c r="G562" i="24"/>
  <c r="F554" i="24"/>
  <c r="F556" i="24" s="1"/>
  <c r="G558" i="24" s="1"/>
  <c r="G549" i="24"/>
  <c r="F541" i="24"/>
  <c r="F543" i="24" s="1"/>
  <c r="G545" i="24" s="1"/>
  <c r="G536" i="24"/>
  <c r="F527" i="24"/>
  <c r="F529" i="24" s="1"/>
  <c r="G531" i="24" s="1"/>
  <c r="G522" i="24"/>
  <c r="F514" i="24"/>
  <c r="F516" i="24" s="1"/>
  <c r="G518" i="24" s="1"/>
  <c r="G509" i="24"/>
  <c r="G117" i="18"/>
  <c r="F121" i="18"/>
  <c r="F122" i="18" s="1"/>
  <c r="F124" i="18" s="1"/>
  <c r="G126" i="18" s="1"/>
  <c r="H126" i="18" s="1"/>
  <c r="F501" i="24"/>
  <c r="F503" i="24" s="1"/>
  <c r="G505" i="24" s="1"/>
  <c r="G496" i="24"/>
  <c r="F487" i="24"/>
  <c r="F489" i="24" s="1"/>
  <c r="G491" i="24" s="1"/>
  <c r="G482" i="24"/>
  <c r="F474" i="24"/>
  <c r="F476" i="24" s="1"/>
  <c r="G478" i="24" s="1"/>
  <c r="H478" i="24" s="1"/>
  <c r="G182" i="18"/>
  <c r="F187" i="18"/>
  <c r="F189" i="18"/>
  <c r="G191" i="18"/>
  <c r="H191" i="18"/>
  <c r="F448" i="24"/>
  <c r="F450" i="24" s="1"/>
  <c r="G452" i="24" s="1"/>
  <c r="G442" i="24"/>
  <c r="F432" i="24"/>
  <c r="F434" i="24" s="1"/>
  <c r="G436" i="24" s="1"/>
  <c r="G426" i="24"/>
  <c r="F413" i="24"/>
  <c r="F415" i="24" s="1"/>
  <c r="G417" i="24" s="1"/>
  <c r="G408" i="24"/>
  <c r="F400" i="24"/>
  <c r="F402" i="24" s="1"/>
  <c r="G404" i="24" s="1"/>
  <c r="G394" i="24"/>
  <c r="F358" i="24"/>
  <c r="H359" i="24" s="1"/>
  <c r="F383" i="24"/>
  <c r="F385" i="24" s="1"/>
  <c r="G387" i="24" s="1"/>
  <c r="G378" i="24"/>
  <c r="F369" i="24"/>
  <c r="F371" i="24" s="1"/>
  <c r="G373" i="24" s="1"/>
  <c r="G364" i="24"/>
  <c r="F349" i="24"/>
  <c r="F351" i="24" s="1"/>
  <c r="G353" i="24" s="1"/>
  <c r="G344" i="24"/>
  <c r="F335" i="24"/>
  <c r="G329" i="24"/>
  <c r="F322" i="24"/>
  <c r="G324" i="24" s="1"/>
  <c r="G316" i="24"/>
  <c r="F307" i="24"/>
  <c r="G309" i="24" s="1"/>
  <c r="G302" i="24"/>
  <c r="F293" i="24"/>
  <c r="F295" i="24" s="1"/>
  <c r="G298" i="24" s="1"/>
  <c r="G288" i="24"/>
  <c r="F282" i="24"/>
  <c r="G284" i="24" s="1"/>
  <c r="G277" i="24"/>
  <c r="F268" i="24"/>
  <c r="G270" i="24" s="1"/>
  <c r="G263" i="24"/>
  <c r="F254" i="24"/>
  <c r="F257" i="24" s="1"/>
  <c r="G259" i="24" s="1"/>
  <c r="G249" i="24"/>
  <c r="F255" i="18"/>
  <c r="G258" i="18"/>
  <c r="H258" i="18"/>
  <c r="F213" i="24"/>
  <c r="F215" i="24" s="1"/>
  <c r="G218" i="24" s="1"/>
  <c r="G206" i="24"/>
  <c r="F198" i="24"/>
  <c r="G202" i="24" s="1"/>
  <c r="G193" i="24"/>
  <c r="F185" i="24"/>
  <c r="F187" i="24" s="1"/>
  <c r="G189" i="24" s="1"/>
  <c r="G180" i="24"/>
  <c r="F171" i="24"/>
  <c r="F173" i="24" s="1"/>
  <c r="G175" i="24" s="1"/>
  <c r="G166" i="24"/>
  <c r="F158" i="24"/>
  <c r="F160" i="24" s="1"/>
  <c r="G162" i="24" s="1"/>
  <c r="G153" i="24"/>
  <c r="F144" i="24"/>
  <c r="F146" i="24" s="1"/>
  <c r="G148" i="24" s="1"/>
  <c r="F134" i="24"/>
  <c r="F136" i="24" s="1"/>
  <c r="G138" i="24" s="1"/>
  <c r="G129" i="24"/>
  <c r="F122" i="24"/>
  <c r="G124" i="24" s="1"/>
  <c r="G116" i="24"/>
  <c r="F108" i="24"/>
  <c r="G111" i="24" s="1"/>
  <c r="G103" i="24"/>
  <c r="G333" i="18"/>
  <c r="F337" i="18"/>
  <c r="F338" i="18"/>
  <c r="F340" i="18"/>
  <c r="G342" i="18" s="1"/>
  <c r="H342" i="18" s="1"/>
  <c r="F76" i="24"/>
  <c r="F78" i="24" s="1"/>
  <c r="G80" i="24" s="1"/>
  <c r="G71" i="24"/>
  <c r="F63" i="24"/>
  <c r="F65" i="24" s="1"/>
  <c r="G67" i="24" s="1"/>
  <c r="G58" i="24"/>
  <c r="G54" i="24"/>
  <c r="H54" i="24" s="1"/>
  <c r="I242" i="24" s="1"/>
  <c r="J243" i="24" s="1"/>
  <c r="F34" i="24"/>
  <c r="F36" i="24" s="1"/>
  <c r="G38" i="24" s="1"/>
  <c r="G29" i="24"/>
  <c r="F22" i="24"/>
  <c r="G24" i="24" s="1"/>
  <c r="G14" i="24"/>
  <c r="H45" i="21"/>
  <c r="H44" i="21"/>
  <c r="K17" i="21"/>
  <c r="G40" i="21"/>
  <c r="H12" i="21"/>
  <c r="F716" i="18"/>
  <c r="F471" i="18"/>
  <c r="G474" i="18" s="1"/>
  <c r="F49" i="18"/>
  <c r="G465" i="18"/>
  <c r="F822" i="18"/>
  <c r="H652" i="24" l="1"/>
  <c r="H682" i="24"/>
  <c r="H782" i="24"/>
  <c r="H309" i="24"/>
  <c r="H324" i="24"/>
  <c r="H597" i="24"/>
  <c r="H570" i="24"/>
  <c r="H531" i="24"/>
  <c r="G457" i="24"/>
  <c r="H466" i="24" s="1"/>
  <c r="F462" i="24"/>
  <c r="F464" i="24" s="1"/>
  <c r="H452" i="24"/>
  <c r="H436" i="24"/>
  <c r="H698" i="24"/>
  <c r="H491" i="24"/>
  <c r="H558" i="24"/>
  <c r="H138" i="24"/>
  <c r="H298" i="24"/>
  <c r="H639" i="24"/>
  <c r="H38" i="24"/>
  <c r="F337" i="24"/>
  <c r="G339" i="24" s="1"/>
  <c r="H339" i="24" s="1"/>
  <c r="H732" i="24"/>
  <c r="H866" i="24" s="1"/>
  <c r="H387" i="24"/>
  <c r="H584" i="24"/>
  <c r="H111" i="24"/>
  <c r="H270" i="24"/>
  <c r="H417" i="24"/>
  <c r="H545" i="24"/>
  <c r="H623" i="24"/>
  <c r="H748" i="24"/>
  <c r="J744" i="24" s="1"/>
  <c r="H505" i="24"/>
  <c r="H667" i="24"/>
  <c r="I660" i="24" s="1"/>
  <c r="H518" i="24"/>
  <c r="H202" i="24"/>
  <c r="H353" i="24"/>
  <c r="H67" i="24"/>
  <c r="H373" i="24"/>
  <c r="H610" i="24"/>
  <c r="H404" i="24"/>
  <c r="H284" i="24"/>
  <c r="H259" i="24"/>
  <c r="H80" i="24"/>
  <c r="H175" i="24"/>
  <c r="H189" i="24"/>
  <c r="H124" i="24"/>
  <c r="H24" i="24"/>
  <c r="I623" i="24" l="1"/>
  <c r="I861" i="24"/>
  <c r="I461" i="24"/>
  <c r="I264" i="24"/>
  <c r="I309" i="24"/>
  <c r="I417" i="24"/>
  <c r="K259" i="8"/>
  <c r="N40" i="7"/>
  <c r="L36" i="7"/>
  <c r="L48" i="7"/>
  <c r="L46" i="7"/>
  <c r="L45" i="7"/>
  <c r="F22" i="4" l="1"/>
  <c r="I41" i="3"/>
  <c r="F418" i="18"/>
  <c r="F279" i="18"/>
  <c r="F33" i="18"/>
  <c r="F35" i="18" s="1"/>
  <c r="G37" i="18" s="1"/>
  <c r="F714" i="18"/>
  <c r="F608" i="18"/>
  <c r="F610" i="18" s="1"/>
  <c r="G612" i="18" s="1"/>
  <c r="F592" i="18"/>
  <c r="F594" i="18" s="1"/>
  <c r="G596" i="18" s="1"/>
  <c r="H596" i="18" s="1"/>
  <c r="F542" i="18"/>
  <c r="F456" i="18"/>
  <c r="F432" i="18"/>
  <c r="F297" i="18"/>
  <c r="F173" i="18"/>
  <c r="F134" i="18"/>
  <c r="F135" i="18" s="1"/>
  <c r="F137" i="18" s="1"/>
  <c r="G139" i="18" s="1"/>
  <c r="F768" i="18"/>
  <c r="F769" i="18" s="1"/>
  <c r="F752" i="18"/>
  <c r="F698" i="18"/>
  <c r="F553" i="18"/>
  <c r="F513" i="18"/>
  <c r="F498" i="18"/>
  <c r="F483" i="18"/>
  <c r="F469" i="18"/>
  <c r="F443" i="18"/>
  <c r="F405" i="18"/>
  <c r="F392" i="18"/>
  <c r="F378" i="18"/>
  <c r="F365" i="18"/>
  <c r="F325" i="18"/>
  <c r="F310" i="18"/>
  <c r="F266" i="18"/>
  <c r="F252" i="18"/>
  <c r="F237" i="18"/>
  <c r="F211" i="18"/>
  <c r="F199" i="18"/>
  <c r="F160" i="18"/>
  <c r="F147" i="18"/>
  <c r="F104" i="18"/>
  <c r="F105" i="18" s="1"/>
  <c r="F90" i="18"/>
  <c r="F61" i="18"/>
  <c r="F47" i="18"/>
  <c r="G812" i="18"/>
  <c r="G814" i="18" s="1"/>
  <c r="H814" i="18" s="1"/>
  <c r="F736" i="18"/>
  <c r="F725" i="18"/>
  <c r="F823" i="18"/>
  <c r="Q595" i="18"/>
  <c r="Q596" i="18" s="1"/>
  <c r="Q598" i="18" s="1"/>
  <c r="R600" i="18" s="1"/>
  <c r="S600" i="18" s="1"/>
  <c r="F484" i="18"/>
  <c r="F351" i="18"/>
  <c r="F326" i="18"/>
  <c r="F328" i="18" s="1"/>
  <c r="F174" i="18"/>
  <c r="F176" i="18" s="1"/>
  <c r="G178" i="18" s="1"/>
  <c r="F62" i="18"/>
  <c r="F64" i="18" s="1"/>
  <c r="G66" i="18" s="1"/>
  <c r="G14" i="18" l="1"/>
  <c r="F8" i="20"/>
  <c r="I871" i="24" l="1"/>
  <c r="I872" i="24" s="1"/>
  <c r="M36" i="7"/>
  <c r="L37" i="7" s="1"/>
  <c r="K34" i="12" l="1"/>
  <c r="H45" i="17"/>
  <c r="H44" i="17"/>
  <c r="G40" i="17"/>
  <c r="H12" i="17"/>
  <c r="H141" i="8"/>
  <c r="I141" i="8" s="1"/>
  <c r="I11" i="8" l="1"/>
  <c r="L23" i="7" l="1"/>
  <c r="I66" i="7" l="1"/>
  <c r="I37" i="3"/>
  <c r="F846" i="18"/>
  <c r="H847" i="18" s="1"/>
  <c r="F828" i="18"/>
  <c r="F830" i="18" s="1"/>
  <c r="H15" i="18"/>
  <c r="F20" i="18"/>
  <c r="F22" i="18" s="1"/>
  <c r="G24" i="18" s="1"/>
  <c r="H24" i="18" s="1"/>
  <c r="G640" i="18"/>
  <c r="I725" i="18"/>
  <c r="I726" i="18" s="1"/>
  <c r="I728" i="18" s="1"/>
  <c r="J730" i="18" s="1"/>
  <c r="K730" i="18" s="1"/>
  <c r="L49" i="7" l="1"/>
  <c r="F563" i="18"/>
  <c r="I14" i="18"/>
  <c r="K22" i="12"/>
  <c r="L22" i="12" l="1"/>
  <c r="J15" i="8"/>
  <c r="G602" i="18"/>
  <c r="H612" i="18" s="1"/>
  <c r="F433" i="18"/>
  <c r="F838" i="18"/>
  <c r="F840" i="18" s="1"/>
  <c r="G842" i="18" s="1"/>
  <c r="H842" i="18" s="1"/>
  <c r="G435" i="18" l="1"/>
  <c r="K17" i="12"/>
  <c r="G747" i="18"/>
  <c r="G763" i="18"/>
  <c r="J12" i="18"/>
  <c r="I8" i="18"/>
  <c r="J9" i="18" s="1"/>
  <c r="J11" i="18" s="1"/>
  <c r="M61" i="7"/>
  <c r="F38" i="4" l="1"/>
  <c r="C14" i="19" s="1"/>
  <c r="C18" i="19" s="1"/>
  <c r="C20" i="19" s="1"/>
  <c r="G275" i="18"/>
  <c r="F801" i="18"/>
  <c r="F803" i="18" s="1"/>
  <c r="G805" i="18" s="1"/>
  <c r="G795" i="18"/>
  <c r="F785" i="18"/>
  <c r="F787" i="18" s="1"/>
  <c r="G789" i="18" s="1"/>
  <c r="G779" i="18"/>
  <c r="F771" i="18"/>
  <c r="G773" i="18" s="1"/>
  <c r="H773" i="18" s="1"/>
  <c r="F753" i="18"/>
  <c r="F755" i="18" s="1"/>
  <c r="G757" i="18" s="1"/>
  <c r="H757" i="18" s="1"/>
  <c r="F737" i="18"/>
  <c r="F739" i="18" s="1"/>
  <c r="G741" i="18" s="1"/>
  <c r="H741" i="18" s="1"/>
  <c r="F726" i="18"/>
  <c r="F728" i="18" s="1"/>
  <c r="G730" i="18" s="1"/>
  <c r="H730" i="18" s="1"/>
  <c r="F715" i="18"/>
  <c r="F717" i="18" s="1"/>
  <c r="G719" i="18" s="1"/>
  <c r="G709" i="18"/>
  <c r="F699" i="18"/>
  <c r="F701" i="18" s="1"/>
  <c r="G703" i="18" s="1"/>
  <c r="G693" i="18"/>
  <c r="F682" i="18"/>
  <c r="F684" i="18" s="1"/>
  <c r="G686" i="18" s="1"/>
  <c r="G677" i="18"/>
  <c r="F664" i="18"/>
  <c r="F666" i="18" s="1"/>
  <c r="G668" i="18" s="1"/>
  <c r="G658" i="18"/>
  <c r="F646" i="18"/>
  <c r="F648" i="18" s="1"/>
  <c r="G650" i="18" s="1"/>
  <c r="H650" i="18" s="1"/>
  <c r="F627" i="18"/>
  <c r="F629" i="18" s="1"/>
  <c r="G631" i="18" s="1"/>
  <c r="G622" i="18"/>
  <c r="G586" i="18"/>
  <c r="F575" i="18"/>
  <c r="F577" i="18" s="1"/>
  <c r="G579" i="18" s="1"/>
  <c r="G569" i="18"/>
  <c r="F554" i="18"/>
  <c r="G556" i="18" s="1"/>
  <c r="G549" i="18"/>
  <c r="F543" i="18"/>
  <c r="G545" i="18" s="1"/>
  <c r="G538" i="18"/>
  <c r="F529" i="18"/>
  <c r="F531" i="18" s="1"/>
  <c r="G534" i="18" s="1"/>
  <c r="G524" i="18"/>
  <c r="F514" i="18"/>
  <c r="F516" i="18" s="1"/>
  <c r="G518" i="18" s="1"/>
  <c r="G509" i="18"/>
  <c r="F499" i="18"/>
  <c r="F501" i="18" s="1"/>
  <c r="G503" i="18" s="1"/>
  <c r="G494" i="18"/>
  <c r="G488" i="18"/>
  <c r="G479" i="18"/>
  <c r="F470" i="18"/>
  <c r="F472" i="18" s="1"/>
  <c r="F457" i="18"/>
  <c r="F459" i="18" s="1"/>
  <c r="G461" i="18" s="1"/>
  <c r="G452" i="18"/>
  <c r="F444" i="18"/>
  <c r="G447" i="18" s="1"/>
  <c r="G439" i="18"/>
  <c r="G428" i="18"/>
  <c r="H435" i="18" s="1"/>
  <c r="F419" i="18"/>
  <c r="F422" i="18" s="1"/>
  <c r="G424" i="18" s="1"/>
  <c r="G414" i="18"/>
  <c r="F406" i="18"/>
  <c r="F408" i="18" s="1"/>
  <c r="G401" i="18"/>
  <c r="F395" i="18"/>
  <c r="G397" i="18" s="1"/>
  <c r="G388" i="18"/>
  <c r="F379" i="18"/>
  <c r="F381" i="18" s="1"/>
  <c r="G383" i="18" s="1"/>
  <c r="G374" i="18"/>
  <c r="F366" i="18"/>
  <c r="F368" i="18" s="1"/>
  <c r="G370" i="18" s="1"/>
  <c r="G361" i="18"/>
  <c r="F353" i="18"/>
  <c r="G355" i="18" s="1"/>
  <c r="G346" i="18"/>
  <c r="G321" i="18"/>
  <c r="F312" i="18"/>
  <c r="G306" i="18"/>
  <c r="F298" i="18"/>
  <c r="F300" i="18" s="1"/>
  <c r="G302" i="18" s="1"/>
  <c r="G293" i="18"/>
  <c r="F280" i="18"/>
  <c r="F282" i="18" s="1"/>
  <c r="G284" i="18" s="1"/>
  <c r="F267" i="18"/>
  <c r="F269" i="18" s="1"/>
  <c r="G271" i="18" s="1"/>
  <c r="G262" i="18"/>
  <c r="F253" i="18"/>
  <c r="G246" i="18"/>
  <c r="F238" i="18"/>
  <c r="F240" i="18" s="1"/>
  <c r="G242" i="18" s="1"/>
  <c r="G233" i="18"/>
  <c r="F225" i="18"/>
  <c r="F227" i="18" s="1"/>
  <c r="G229" i="18" s="1"/>
  <c r="G220" i="18"/>
  <c r="F212" i="18"/>
  <c r="F214" i="18" s="1"/>
  <c r="G216" i="18" s="1"/>
  <c r="G207" i="18"/>
  <c r="F201" i="18"/>
  <c r="G203" i="18" s="1"/>
  <c r="G195" i="18"/>
  <c r="G169" i="18"/>
  <c r="G164" i="18"/>
  <c r="G156" i="18"/>
  <c r="F148" i="18"/>
  <c r="F150" i="18" s="1"/>
  <c r="G152" i="18" s="1"/>
  <c r="G143" i="18"/>
  <c r="G130" i="18"/>
  <c r="H139" i="18" s="1"/>
  <c r="F107" i="18"/>
  <c r="G109" i="18" s="1"/>
  <c r="G100" i="18"/>
  <c r="F91" i="18"/>
  <c r="F93" i="18" s="1"/>
  <c r="G95" i="18" s="1"/>
  <c r="G86" i="18"/>
  <c r="F76" i="18"/>
  <c r="F78" i="18" s="1"/>
  <c r="G80" i="18" s="1"/>
  <c r="G71" i="18"/>
  <c r="G57" i="18"/>
  <c r="H66" i="18" s="1"/>
  <c r="F48" i="18"/>
  <c r="F50" i="18" s="1"/>
  <c r="G52" i="18" s="1"/>
  <c r="G42" i="18"/>
  <c r="G29" i="18"/>
  <c r="H37" i="18" s="1"/>
  <c r="H686" i="18" l="1"/>
  <c r="H355" i="18"/>
  <c r="H52" i="18"/>
  <c r="H789" i="18"/>
  <c r="H668" i="18"/>
  <c r="H631" i="18"/>
  <c r="H164" i="18"/>
  <c r="H216" i="18"/>
  <c r="H579" i="18"/>
  <c r="H545" i="18"/>
  <c r="H518" i="18"/>
  <c r="H503" i="18"/>
  <c r="H461" i="18"/>
  <c r="H424" i="18"/>
  <c r="H370" i="18"/>
  <c r="G329" i="18"/>
  <c r="H329" i="18" s="1"/>
  <c r="H203" i="18"/>
  <c r="H152" i="18"/>
  <c r="H271" i="18"/>
  <c r="H534" i="18"/>
  <c r="H805" i="18"/>
  <c r="H719" i="18"/>
  <c r="H556" i="18"/>
  <c r="H474" i="18"/>
  <c r="H80" i="18"/>
  <c r="H229" i="18"/>
  <c r="H178" i="18"/>
  <c r="H284" i="18"/>
  <c r="H302" i="18"/>
  <c r="H447" i="18"/>
  <c r="G410" i="18"/>
  <c r="H410" i="18" s="1"/>
  <c r="H109" i="18"/>
  <c r="F314" i="18"/>
  <c r="H397" i="18"/>
  <c r="H383" i="18"/>
  <c r="H95" i="18"/>
  <c r="H242" i="18"/>
  <c r="H488" i="18"/>
  <c r="J650" i="18"/>
  <c r="H703" i="18"/>
  <c r="G316" i="18" l="1"/>
  <c r="H316" i="18" l="1"/>
  <c r="H855" i="18" s="1"/>
  <c r="H39" i="8"/>
  <c r="I40" i="8" s="1"/>
  <c r="I304" i="8"/>
  <c r="I303" i="8"/>
  <c r="I301" i="8"/>
  <c r="I235" i="8"/>
  <c r="I232" i="8"/>
  <c r="I223" i="8"/>
  <c r="I219" i="8"/>
  <c r="I215" i="8"/>
  <c r="I211" i="8"/>
  <c r="I204" i="8"/>
  <c r="I201" i="8"/>
  <c r="I194" i="8"/>
  <c r="I191" i="8"/>
  <c r="I188" i="8"/>
  <c r="I185" i="8"/>
  <c r="I182" i="8"/>
  <c r="I178" i="8"/>
  <c r="I168" i="8"/>
  <c r="I163" i="8"/>
  <c r="I156" i="8"/>
  <c r="H153" i="8"/>
  <c r="I153" i="8" s="1"/>
  <c r="I150" i="8"/>
  <c r="I147" i="8"/>
  <c r="H144" i="8"/>
  <c r="I144" i="8" s="1"/>
  <c r="H136" i="8"/>
  <c r="I137" i="8" s="1"/>
  <c r="H132" i="8"/>
  <c r="H131" i="8"/>
  <c r="I124" i="8"/>
  <c r="I117" i="8"/>
  <c r="I114" i="8"/>
  <c r="I111" i="8"/>
  <c r="I108" i="8"/>
  <c r="I105" i="8"/>
  <c r="I102" i="8"/>
  <c r="H99" i="8"/>
  <c r="I99" i="8" s="1"/>
  <c r="I96" i="8"/>
  <c r="H92" i="8"/>
  <c r="H90" i="8"/>
  <c r="I92" i="8" s="1"/>
  <c r="H87" i="8"/>
  <c r="I87" i="8" s="1"/>
  <c r="H84" i="8"/>
  <c r="I84" i="8" s="1"/>
  <c r="I79" i="8"/>
  <c r="I76" i="8"/>
  <c r="I65" i="8"/>
  <c r="H60" i="8"/>
  <c r="I62" i="8" s="1"/>
  <c r="H49" i="8"/>
  <c r="H48" i="8"/>
  <c r="H44" i="8"/>
  <c r="I45" i="8" s="1"/>
  <c r="I29" i="8"/>
  <c r="H23" i="8"/>
  <c r="I24" i="8" s="1"/>
  <c r="I31" i="8" s="1"/>
  <c r="I57" i="8" l="1"/>
  <c r="I51" i="8"/>
  <c r="I132" i="8"/>
  <c r="I259" i="8" l="1"/>
  <c r="N10" i="4" s="1"/>
  <c r="J57" i="7"/>
  <c r="J68" i="7" s="1"/>
  <c r="I302" i="8" l="1"/>
  <c r="I305" i="8" s="1"/>
  <c r="J29" i="7"/>
  <c r="L755" i="10"/>
  <c r="L754" i="10"/>
  <c r="K719" i="10"/>
  <c r="L478" i="10"/>
  <c r="L477" i="10"/>
  <c r="M812" i="10"/>
  <c r="K802" i="10"/>
  <c r="K789" i="10"/>
  <c r="K773" i="10"/>
  <c r="K741" i="10"/>
  <c r="K730" i="10"/>
  <c r="K703" i="10"/>
  <c r="K686" i="10"/>
  <c r="K650" i="10"/>
  <c r="K631" i="10"/>
  <c r="K614" i="10"/>
  <c r="K603" i="10"/>
  <c r="K586" i="10"/>
  <c r="K563" i="10"/>
  <c r="K552" i="10"/>
  <c r="K541" i="10"/>
  <c r="K525" i="10"/>
  <c r="K510" i="10"/>
  <c r="K495" i="10"/>
  <c r="K468" i="10"/>
  <c r="K454" i="10"/>
  <c r="K442" i="10"/>
  <c r="K431" i="10"/>
  <c r="K417" i="10"/>
  <c r="K404" i="10"/>
  <c r="K390" i="10"/>
  <c r="K377" i="10"/>
  <c r="K362" i="10"/>
  <c r="K349" i="10"/>
  <c r="K336" i="10"/>
  <c r="K309" i="10"/>
  <c r="K291" i="10"/>
  <c r="K278" i="10"/>
  <c r="K265" i="10"/>
  <c r="K249" i="10"/>
  <c r="K236" i="10"/>
  <c r="K223" i="10"/>
  <c r="K210" i="10"/>
  <c r="K198" i="10"/>
  <c r="K185" i="10"/>
  <c r="K171" i="10"/>
  <c r="K159" i="10"/>
  <c r="K146" i="10"/>
  <c r="K133" i="10"/>
  <c r="K116" i="10"/>
  <c r="K102" i="10"/>
  <c r="K87" i="10"/>
  <c r="M799" i="10"/>
  <c r="M798" i="10"/>
  <c r="M797" i="10"/>
  <c r="I798" i="10"/>
  <c r="I800" i="10" s="1"/>
  <c r="J802" i="10" s="1"/>
  <c r="I797" i="10"/>
  <c r="J793" i="10"/>
  <c r="L523" i="10"/>
  <c r="M769" i="10"/>
  <c r="L771" i="10"/>
  <c r="L770" i="10"/>
  <c r="L751" i="10"/>
  <c r="M719" i="10"/>
  <c r="M718" i="10"/>
  <c r="M717" i="10"/>
  <c r="L697" i="10"/>
  <c r="L667" i="10"/>
  <c r="L644" i="10"/>
  <c r="L622" i="10"/>
  <c r="L621" i="10"/>
  <c r="L620" i="10"/>
  <c r="L613" i="10"/>
  <c r="L612" i="10"/>
  <c r="J607" i="10"/>
  <c r="I611" i="10"/>
  <c r="I612" i="10" s="1"/>
  <c r="J614" i="10" s="1"/>
  <c r="L607" i="10"/>
  <c r="L597" i="10"/>
  <c r="M581" i="10"/>
  <c r="M583" i="10" s="1"/>
  <c r="M584" i="10" s="1"/>
  <c r="L559" i="10"/>
  <c r="L537" i="10"/>
  <c r="L504" i="10"/>
  <c r="L490" i="10"/>
  <c r="L495" i="10" s="1"/>
  <c r="I495" i="10"/>
  <c r="L475" i="10"/>
  <c r="L462" i="10"/>
  <c r="L454" i="10"/>
  <c r="L438" i="10"/>
  <c r="L439" i="10" s="1"/>
  <c r="L437" i="10"/>
  <c r="L423" i="10"/>
  <c r="L399" i="10"/>
  <c r="L382" i="10"/>
  <c r="L368" i="10"/>
  <c r="L353" i="10"/>
  <c r="L342" i="10"/>
  <c r="L334" i="10"/>
  <c r="L330" i="10"/>
  <c r="L321" i="10"/>
  <c r="L322" i="10" s="1"/>
  <c r="L323" i="10" s="1"/>
  <c r="L415" i="10"/>
  <c r="L309" i="10"/>
  <c r="L289" i="10"/>
  <c r="M272" i="10"/>
  <c r="L263" i="10"/>
  <c r="L245" i="10"/>
  <c r="L231" i="10"/>
  <c r="L208" i="10"/>
  <c r="M194" i="10"/>
  <c r="L179" i="10"/>
  <c r="L180" i="10" s="1"/>
  <c r="L181" i="10" s="1"/>
  <c r="L162" i="10"/>
  <c r="M152" i="10"/>
  <c r="L142" i="10"/>
  <c r="L143" i="10" s="1"/>
  <c r="L144" i="10" s="1"/>
  <c r="L129" i="10"/>
  <c r="L130" i="10" s="1"/>
  <c r="L128" i="10"/>
  <c r="L109" i="10"/>
  <c r="L91" i="10"/>
  <c r="L92" i="10" s="1"/>
  <c r="L93" i="10" s="1"/>
  <c r="L81" i="10"/>
  <c r="L66" i="10"/>
  <c r="L67" i="10" s="1"/>
  <c r="L49" i="10"/>
  <c r="L53" i="10" s="1"/>
  <c r="J14" i="10"/>
  <c r="K15" i="10" s="1"/>
  <c r="I40" i="10"/>
  <c r="J36" i="10"/>
  <c r="I54" i="10"/>
  <c r="I68" i="10"/>
  <c r="I82" i="10"/>
  <c r="I97" i="10"/>
  <c r="I141" i="10"/>
  <c r="I111" i="10"/>
  <c r="L40" i="7" l="1"/>
  <c r="L50" i="7" s="1"/>
  <c r="K57" i="7"/>
  <c r="L82" i="10"/>
  <c r="L83" i="10" s="1"/>
  <c r="L424" i="10"/>
  <c r="L425" i="10" s="1"/>
  <c r="M153" i="10"/>
  <c r="M154" i="10" s="1"/>
  <c r="L232" i="10"/>
  <c r="L233" i="10" s="1"/>
  <c r="L264" i="10"/>
  <c r="L265" i="10" s="1"/>
  <c r="L343" i="10"/>
  <c r="L344" i="10" s="1"/>
  <c r="L369" i="10"/>
  <c r="L370" i="10" s="1"/>
  <c r="L401" i="10"/>
  <c r="L402" i="10" s="1"/>
  <c r="L491" i="10"/>
  <c r="L492" i="10" s="1"/>
  <c r="L331" i="10"/>
  <c r="L332" i="10" s="1"/>
  <c r="I20" i="10"/>
  <c r="J576" i="10"/>
  <c r="I784" i="10"/>
  <c r="I803" i="10"/>
  <c r="J805" i="10" s="1"/>
  <c r="L11" i="7"/>
  <c r="J19" i="7"/>
  <c r="I29" i="12"/>
  <c r="I14" i="12"/>
  <c r="J34" i="12" s="1"/>
  <c r="K14" i="12"/>
  <c r="I9" i="14"/>
  <c r="I647" i="10"/>
  <c r="J51" i="7" l="1"/>
  <c r="K70" i="7" s="1"/>
  <c r="M70" i="7" s="1"/>
  <c r="J36" i="12"/>
  <c r="I598" i="10"/>
  <c r="I599" i="10" s="1"/>
  <c r="I601" i="10" s="1"/>
  <c r="I549" i="10"/>
  <c r="L37" i="12" l="1"/>
  <c r="J39" i="12"/>
  <c r="J41" i="12" s="1"/>
  <c r="J603" i="10"/>
  <c r="I317" i="10"/>
  <c r="I22" i="10"/>
  <c r="J24" i="10" s="1"/>
  <c r="K24" i="10" s="1"/>
  <c r="I768" i="10"/>
  <c r="I752" i="10"/>
  <c r="I736" i="10"/>
  <c r="I725" i="10"/>
  <c r="I726" i="10" s="1"/>
  <c r="I728" i="10" s="1"/>
  <c r="I714" i="10"/>
  <c r="I698" i="10"/>
  <c r="I681" i="10"/>
  <c r="I663" i="10"/>
  <c r="I645" i="10"/>
  <c r="I626" i="10"/>
  <c r="I581" i="10"/>
  <c r="I560" i="10"/>
  <c r="I561" i="10" s="1"/>
  <c r="I535" i="10"/>
  <c r="I520" i="10"/>
  <c r="I505" i="10"/>
  <c r="I490" i="10"/>
  <c r="I476" i="10"/>
  <c r="I463" i="10"/>
  <c r="I450" i="10"/>
  <c r="I439" i="10"/>
  <c r="I425" i="10"/>
  <c r="I412" i="10"/>
  <c r="I399" i="10"/>
  <c r="I385" i="10"/>
  <c r="I372" i="10"/>
  <c r="I357" i="10"/>
  <c r="I344" i="10"/>
  <c r="I332" i="10"/>
  <c r="I304" i="10"/>
  <c r="I286" i="10"/>
  <c r="I273" i="10"/>
  <c r="I259" i="10"/>
  <c r="I244" i="10"/>
  <c r="I231" i="10"/>
  <c r="I218" i="10"/>
  <c r="I206" i="10"/>
  <c r="I193" i="10"/>
  <c r="I180" i="10"/>
  <c r="I167" i="10"/>
  <c r="I154" i="10"/>
  <c r="I128" i="10"/>
  <c r="I18" i="3"/>
  <c r="I14" i="3"/>
  <c r="G10" i="14"/>
  <c r="G13" i="14" s="1"/>
  <c r="I582" i="10" l="1"/>
  <c r="I785" i="10"/>
  <c r="I787" i="10" s="1"/>
  <c r="J789" i="10" s="1"/>
  <c r="J779" i="10"/>
  <c r="I584" i="10" l="1"/>
  <c r="J586" i="10" s="1"/>
  <c r="I42" i="10" l="1"/>
  <c r="J44" i="10" s="1"/>
  <c r="K44" i="10" s="1"/>
  <c r="I737" i="10"/>
  <c r="I739" i="10" s="1"/>
  <c r="J741" i="10" s="1"/>
  <c r="J730" i="10"/>
  <c r="I715" i="10"/>
  <c r="I717" i="10" s="1"/>
  <c r="J719" i="10" s="1"/>
  <c r="I664" i="10"/>
  <c r="I666" i="10" s="1"/>
  <c r="I627" i="10"/>
  <c r="I629" i="10" s="1"/>
  <c r="J631" i="10" s="1"/>
  <c r="I550" i="10"/>
  <c r="J552" i="10" s="1"/>
  <c r="I536" i="10"/>
  <c r="I538" i="10" s="1"/>
  <c r="J541" i="10" s="1"/>
  <c r="I521" i="10"/>
  <c r="I523" i="10" s="1"/>
  <c r="J525" i="10" s="1"/>
  <c r="I506" i="10"/>
  <c r="I508" i="10" s="1"/>
  <c r="J510" i="10" s="1"/>
  <c r="I464" i="10"/>
  <c r="I466" i="10" s="1"/>
  <c r="J468" i="10" s="1"/>
  <c r="I451" i="10"/>
  <c r="J454" i="10" s="1"/>
  <c r="I440" i="10"/>
  <c r="J442" i="10" s="1"/>
  <c r="I426" i="10"/>
  <c r="I429" i="10" s="1"/>
  <c r="J431" i="10" s="1"/>
  <c r="I413" i="10"/>
  <c r="I415" i="10" s="1"/>
  <c r="J417" i="10" s="1"/>
  <c r="I402" i="10"/>
  <c r="J404" i="10" s="1"/>
  <c r="I373" i="10"/>
  <c r="I375" i="10" s="1"/>
  <c r="J377" i="10" s="1"/>
  <c r="I358" i="10"/>
  <c r="I360" i="10" s="1"/>
  <c r="J362" i="10" s="1"/>
  <c r="I345" i="10"/>
  <c r="I347" i="10" s="1"/>
  <c r="J349" i="10" s="1"/>
  <c r="I333" i="10"/>
  <c r="I335" i="10" s="1"/>
  <c r="J336" i="10" s="1"/>
  <c r="I319" i="10"/>
  <c r="I305" i="10"/>
  <c r="I307" i="10" s="1"/>
  <c r="J309" i="10" s="1"/>
  <c r="I287" i="10"/>
  <c r="I289" i="10" s="1"/>
  <c r="J291" i="10" s="1"/>
  <c r="I274" i="10"/>
  <c r="I276" i="10" s="1"/>
  <c r="J278" i="10" s="1"/>
  <c r="I260" i="10"/>
  <c r="I262" i="10" s="1"/>
  <c r="J265" i="10" s="1"/>
  <c r="I245" i="10"/>
  <c r="I247" i="10" s="1"/>
  <c r="J249" i="10" s="1"/>
  <c r="I219" i="10"/>
  <c r="I221" i="10" s="1"/>
  <c r="J223" i="10" s="1"/>
  <c r="I208" i="10"/>
  <c r="J210" i="10" s="1"/>
  <c r="I194" i="10"/>
  <c r="I196" i="10" s="1"/>
  <c r="J198" i="10" s="1"/>
  <c r="I181" i="10"/>
  <c r="I183" i="10" s="1"/>
  <c r="J185" i="10" s="1"/>
  <c r="I155" i="10"/>
  <c r="I157" i="10" s="1"/>
  <c r="J159" i="10" s="1"/>
  <c r="I142" i="10"/>
  <c r="I144" i="10" s="1"/>
  <c r="J146" i="10" s="1"/>
  <c r="I129" i="10"/>
  <c r="I131" i="10" s="1"/>
  <c r="J133" i="10" s="1"/>
  <c r="I112" i="10"/>
  <c r="I114" i="10" s="1"/>
  <c r="J116" i="10" s="1"/>
  <c r="I98" i="10"/>
  <c r="I100" i="10" s="1"/>
  <c r="J102" i="10" s="1"/>
  <c r="I83" i="10"/>
  <c r="I85" i="10" s="1"/>
  <c r="J87" i="10" s="1"/>
  <c r="I69" i="10"/>
  <c r="I71" i="10" s="1"/>
  <c r="J73" i="10" s="1"/>
  <c r="I55" i="10"/>
  <c r="I57" i="10" s="1"/>
  <c r="J59" i="10" s="1"/>
  <c r="J563" i="10"/>
  <c r="I769" i="10"/>
  <c r="I771" i="10" s="1"/>
  <c r="J773" i="10" s="1"/>
  <c r="J763" i="10"/>
  <c r="G23" i="14"/>
  <c r="G21" i="14"/>
  <c r="J593" i="10"/>
  <c r="I40" i="3"/>
  <c r="K40" i="3" s="1"/>
  <c r="I39" i="3"/>
  <c r="K39" i="3" s="1"/>
  <c r="J747" i="10"/>
  <c r="I753" i="10"/>
  <c r="I755" i="10" s="1"/>
  <c r="J757" i="10" s="1"/>
  <c r="J545" i="10"/>
  <c r="I699" i="10"/>
  <c r="I701" i="10" s="1"/>
  <c r="J703" i="10" s="1"/>
  <c r="I682" i="10"/>
  <c r="I684" i="10" s="1"/>
  <c r="J686" i="10" s="1"/>
  <c r="I646" i="10"/>
  <c r="I648" i="10" s="1"/>
  <c r="J650" i="10" s="1"/>
  <c r="I491" i="10"/>
  <c r="J495" i="10" s="1"/>
  <c r="I386" i="10"/>
  <c r="I388" i="10" s="1"/>
  <c r="J390" i="10" s="1"/>
  <c r="I232" i="10"/>
  <c r="I234" i="10" s="1"/>
  <c r="J236" i="10" s="1"/>
  <c r="J171" i="10"/>
  <c r="K6" i="12"/>
  <c r="J677" i="10"/>
  <c r="J501" i="10"/>
  <c r="I477" i="10"/>
  <c r="I479" i="10" s="1"/>
  <c r="J481" i="10" s="1"/>
  <c r="J446" i="10"/>
  <c r="J381" i="10"/>
  <c r="J368" i="10"/>
  <c r="J313" i="10"/>
  <c r="J269" i="10"/>
  <c r="J253" i="10"/>
  <c r="J227" i="10"/>
  <c r="J176" i="10"/>
  <c r="J163" i="10"/>
  <c r="J124" i="10"/>
  <c r="J107" i="10"/>
  <c r="J93" i="10"/>
  <c r="J78" i="10"/>
  <c r="J49" i="10"/>
  <c r="K59" i="10" s="1"/>
  <c r="J693" i="10"/>
  <c r="J516" i="10"/>
  <c r="I26" i="10"/>
  <c r="J31" i="10" s="1"/>
  <c r="K31" i="10" s="1"/>
  <c r="I35" i="3"/>
  <c r="K35" i="3" s="1"/>
  <c r="I33" i="3"/>
  <c r="E43" i="3"/>
  <c r="G25" i="14" s="1"/>
  <c r="I31" i="3"/>
  <c r="K31" i="3" s="1"/>
  <c r="I25" i="3"/>
  <c r="K25" i="3" s="1"/>
  <c r="I21" i="3"/>
  <c r="J709" i="10"/>
  <c r="F32" i="14"/>
  <c r="J202" i="10"/>
  <c r="J328" i="10"/>
  <c r="J395" i="10"/>
  <c r="J531" i="10"/>
  <c r="I28" i="3"/>
  <c r="K28" i="3" s="1"/>
  <c r="O41" i="4"/>
  <c r="G41" i="4"/>
  <c r="H43" i="3"/>
  <c r="F43" i="3"/>
  <c r="J282" i="10"/>
  <c r="J421" i="10"/>
  <c r="J622" i="10"/>
  <c r="J137" i="10"/>
  <c r="J340" i="10"/>
  <c r="J214" i="10"/>
  <c r="J658" i="10"/>
  <c r="J300" i="10"/>
  <c r="J472" i="10"/>
  <c r="J459" i="10"/>
  <c r="J64" i="10"/>
  <c r="K73" i="10" s="1"/>
  <c r="J240" i="10"/>
  <c r="J435" i="10"/>
  <c r="J556" i="10"/>
  <c r="J408" i="10"/>
  <c r="J640" i="10"/>
  <c r="J486" i="10"/>
  <c r="J150" i="10"/>
  <c r="J353" i="10"/>
  <c r="J189" i="10"/>
  <c r="K41" i="3" l="1"/>
  <c r="K757" i="10"/>
  <c r="K481" i="10"/>
  <c r="F26" i="4"/>
  <c r="F41" i="4" s="1"/>
  <c r="G27" i="14"/>
  <c r="G32" i="14" s="1"/>
  <c r="H31" i="14" s="1"/>
  <c r="I321" i="10"/>
  <c r="J323" i="10" s="1"/>
  <c r="K323" i="10" s="1"/>
  <c r="K18" i="3"/>
  <c r="I43" i="3"/>
  <c r="K33" i="3"/>
  <c r="J668" i="10"/>
  <c r="K668" i="10" s="1"/>
  <c r="K14" i="3"/>
  <c r="K37" i="3"/>
  <c r="K21" i="3"/>
  <c r="N25" i="4" l="1"/>
  <c r="N21" i="4"/>
  <c r="K809" i="10"/>
  <c r="J43" i="3"/>
  <c r="K43" i="3"/>
  <c r="N16" i="4" s="1"/>
  <c r="N41" i="4" l="1"/>
  <c r="H47" i="4" s="1"/>
  <c r="L809" i="10"/>
  <c r="I856" i="18" l="1"/>
  <c r="J13" i="18" l="1"/>
  <c r="J14" i="18" s="1"/>
</calcChain>
</file>

<file path=xl/sharedStrings.xml><?xml version="1.0" encoding="utf-8"?>
<sst xmlns="http://schemas.openxmlformats.org/spreadsheetml/2006/main" count="3331" uniqueCount="643">
  <si>
    <t>THE MUMBAI OBSTETRIC &amp; GYNAECOLOGICAL SOCIETY</t>
  </si>
  <si>
    <t>OTHER EARMARKED FUNDS</t>
  </si>
  <si>
    <t>Balance as per last Balance Sheet</t>
  </si>
  <si>
    <t>Add:</t>
  </si>
  <si>
    <t>Less:</t>
  </si>
  <si>
    <t>Utilization during the year</t>
  </si>
  <si>
    <t>Addition during the year</t>
  </si>
  <si>
    <t xml:space="preserve">Interest earned </t>
  </si>
  <si>
    <t>Interest earned</t>
  </si>
  <si>
    <t xml:space="preserve">MOGS - Late Dr. Shirin Mehtaji Video Library Fund (Corpus) </t>
  </si>
  <si>
    <t xml:space="preserve">MOGS - Dr.Rajniben Arya Video Library Fund (Corpus) </t>
  </si>
  <si>
    <t xml:space="preserve">MOGS - Dr.Rajniben Arya Video Library Fund (Revenue) </t>
  </si>
  <si>
    <t xml:space="preserve">MOGS - Library &amp; Clinic Activities Fund (Corpus) </t>
  </si>
  <si>
    <t xml:space="preserve">MOGS - Dr. D.K. Tank Prize for Interesting Cases Fund (Corpus) </t>
  </si>
  <si>
    <t xml:space="preserve">MOGS - Dr. D.K. Tank Prize for Interesting Cases Fund (Revenue) </t>
  </si>
  <si>
    <t>MOGS - Dr. Dossibai J.R. Dadabhoy Silver Jubilee Oration Fund (Corpus)</t>
  </si>
  <si>
    <t>MOGS - Dr. Dossibai J.R. Dadabhoy Silver Jubilee Oration Fund (Revenue)</t>
  </si>
  <si>
    <t>MOGS - Dr. M.D. Adatia's Conference Oration Fund (Corpus)</t>
  </si>
  <si>
    <t>MOGS - Dr. Bhanuben M. Nanavati Golden Jubilee Oration Fund (Corpus)</t>
  </si>
  <si>
    <t>MOGS - Dr. Bhanuben M. Nanavati Golden Jubilee Oration Fund (Revenue)</t>
  </si>
  <si>
    <t>MOGS - Dr. Shraddhanand S. Thakur Oration Fund (Corpus)</t>
  </si>
  <si>
    <t>MOGS - Dr. Shraddhanand S. Thakur Oration Fund (Revenue)</t>
  </si>
  <si>
    <t>MOGS - Dr. L.M. Shah Prize Fund (Corpus)</t>
  </si>
  <si>
    <t>MOGS - Dr. L.M. Shah Prize Fund (Revenue)</t>
  </si>
  <si>
    <t xml:space="preserve">MOGS - Dr. C.L. Jhaveri Pre Congress CME Program Fund (Corpus) </t>
  </si>
  <si>
    <t xml:space="preserve">MOGS - Dr. C.L. Jhaveri Pre Congress CME Program Fund (Revenue) </t>
  </si>
  <si>
    <t xml:space="preserve">MOGS - Dr. Kamal S. Jain Prize Fund (Corpus) </t>
  </si>
  <si>
    <t xml:space="preserve">MOGS - Dr. Kamal S. Jain Prize Fund (Revenue) </t>
  </si>
  <si>
    <t>MOGS -  Dr. B.N. Purandare Clinical Activities Fund (Corpus)</t>
  </si>
  <si>
    <t>MOGS -  Dr. B.N. Purandare Clinical Activities Fund (Revenue)</t>
  </si>
  <si>
    <t xml:space="preserve">MOGS - Dr.B.N. Purandare Outstanding Services Award Fund (Corpus) </t>
  </si>
  <si>
    <t xml:space="preserve">MOGS - Dr.B.N. Purandare Outstanding Services Award Fund (Revenue) </t>
  </si>
  <si>
    <t xml:space="preserve">MOGS - Dr. N.K.Allahabadia Research Award Fund (Corpus) </t>
  </si>
  <si>
    <t xml:space="preserve">MOGS - Dr. N.K.Allahabadia Research Award Fund (Revenue) </t>
  </si>
  <si>
    <t xml:space="preserve">MOGS - Dr. Ganatra Trust Women Health &amp; Social Welfare Promotion Fund (Corpus) </t>
  </si>
  <si>
    <t xml:space="preserve">MOGS - Dr. Ganatra Trust Women Health &amp; Social Welfare Promotion Fund (Revenue) </t>
  </si>
  <si>
    <t xml:space="preserve">MOGS - Dr. Ganatra Trust Clinical Activities CME Fund (Corpus) </t>
  </si>
  <si>
    <t xml:space="preserve">MOGS - Dr. Ganatra Trust Clinical Activities CME Fund (Revenue) </t>
  </si>
  <si>
    <t>MOGS -  Dr. K. Sankari Symposium Fund (Corpus)</t>
  </si>
  <si>
    <t>MOGS -  Dr. K. Sankari Symposium Fund (Revenue)</t>
  </si>
  <si>
    <t xml:space="preserve">MOGS - History of MOGS Book Fund (Corpus) </t>
  </si>
  <si>
    <t xml:space="preserve">MOGS - Dr. Duru Shah Best Poster Presentation Award Fund (Corpus) </t>
  </si>
  <si>
    <t xml:space="preserve">MOGS - Dr. Duru Shah Best Committee Prize Fund (Corpus) </t>
  </si>
  <si>
    <t xml:space="preserve">MOGS - Dr.Bhanuben M. Nanavati Loan Scholarship for </t>
  </si>
  <si>
    <t>INVESTMENTS</t>
  </si>
  <si>
    <t>HDFC - Fixed Deposits</t>
  </si>
  <si>
    <t>Investment of Trust Fund</t>
  </si>
  <si>
    <t>General Investment</t>
  </si>
  <si>
    <t>MOGS - Life Membership Fees (Corpus)</t>
  </si>
  <si>
    <t>MOGS - Patron Membership Fees (Corpus)</t>
  </si>
  <si>
    <t>ADVANCES</t>
  </si>
  <si>
    <t>CASH &amp; BANK BALANCES</t>
  </si>
  <si>
    <t>Bank Balances</t>
  </si>
  <si>
    <t>FUNDS &amp; LIABILITIES</t>
  </si>
  <si>
    <t>PROPERTY AND ASSETS</t>
  </si>
  <si>
    <t>Trusts Funds or Corpus:-</t>
  </si>
  <si>
    <t>Investments :- (At Cost)</t>
  </si>
  <si>
    <t>Other Earmarked Funds :-</t>
  </si>
  <si>
    <t>Advances :-</t>
  </si>
  <si>
    <t>Cash and Bank Balances :-</t>
  </si>
  <si>
    <t>Income and Expenditure Account :-</t>
  </si>
  <si>
    <t xml:space="preserve">   As per our report of even date</t>
  </si>
  <si>
    <t>For M/s AMBALAL THAKKAR &amp; ASSOCIATES</t>
  </si>
  <si>
    <t xml:space="preserve">       Chartered Accountants</t>
  </si>
  <si>
    <t xml:space="preserve">MOGS - Dr. Duru Shah Best Poster Presentation Award Fund (Revenue) </t>
  </si>
  <si>
    <t xml:space="preserve">MOGS - Dr. Duru Shah Best Committee Prize Fund (Revenue) </t>
  </si>
  <si>
    <t xml:space="preserve">MOGS- Dr Saroj Desai Excellence Award ( Corpus) </t>
  </si>
  <si>
    <t xml:space="preserve">MOGS- Dr Saroj Desai Excellence Award ( Revenue) </t>
  </si>
  <si>
    <t>Telephone Deposit</t>
  </si>
  <si>
    <t>Loan to Staff members</t>
  </si>
  <si>
    <t xml:space="preserve">Add </t>
  </si>
  <si>
    <t>Less</t>
  </si>
  <si>
    <t>MOGS-Dr S. D. Upasani Conf Prize Fund (Revenue)</t>
  </si>
  <si>
    <t>MOGS- Dr N.A.Purandare Conference  Prizes(Corpus)</t>
  </si>
  <si>
    <t>MOGS-Late Dr N. A. Purandare Post Graduate Training Programme (Revenue)</t>
  </si>
  <si>
    <t>Opening Balance</t>
  </si>
  <si>
    <t>MOGS-Late Dr N. A. Purandare Post Graduate Training Programme (Corpus)</t>
  </si>
  <si>
    <t>Sr. No.</t>
  </si>
  <si>
    <t>Particulars</t>
  </si>
  <si>
    <t>Deduction during the year</t>
  </si>
  <si>
    <t>Depreciation for the year</t>
  </si>
  <si>
    <t>Computer</t>
  </si>
  <si>
    <t xml:space="preserve">Furniture &amp; </t>
  </si>
  <si>
    <t>Fixture</t>
  </si>
  <si>
    <t xml:space="preserve">Xerox &amp; Fax </t>
  </si>
  <si>
    <t>Machine</t>
  </si>
  <si>
    <t>Camera</t>
  </si>
  <si>
    <t>LCD</t>
  </si>
  <si>
    <t xml:space="preserve"> Projector </t>
  </si>
  <si>
    <t>Vichare Courier deposits</t>
  </si>
  <si>
    <t>MOGS -  Late Dr. M.Y. Raval Memorial Fund (Corpus)</t>
  </si>
  <si>
    <t xml:space="preserve">MOGS - Dr. Pramila Bhatia's Young Scientist Award Fund (Corpus) </t>
  </si>
  <si>
    <t>MOGS - Dr Saroj Desai Excellence Award (Corpus)</t>
  </si>
  <si>
    <t>MOGS-Dr S. D. Upasani Conference Prize Fund (Corpus)</t>
  </si>
  <si>
    <t>Air Conditioner</t>
  </si>
  <si>
    <t>MOGS - Library &amp; Clinic Activities Fund (Corpus)</t>
  </si>
  <si>
    <t>Bank of Baroda a/c No. 12857 (LIFE MEMBERS)</t>
  </si>
  <si>
    <t>Bank of Baroda a/c No. 12858 (GENERAL)</t>
  </si>
  <si>
    <t>Add: Transfer from Income &amp; Expenditure A/C</t>
  </si>
  <si>
    <t>(B.S)</t>
  </si>
  <si>
    <t>(A.S.)</t>
  </si>
  <si>
    <t>Mobile Phone</t>
  </si>
  <si>
    <t>(B.S.)</t>
  </si>
  <si>
    <t>Security Alarm</t>
  </si>
  <si>
    <t>Interest Recd.</t>
  </si>
  <si>
    <t>SCHEDULE - A</t>
  </si>
  <si>
    <t>MOGS - PREMISES MAINTENANCE FUND (CORPUS)</t>
  </si>
  <si>
    <t>Addition during the year recd during the year</t>
  </si>
  <si>
    <t>ORATION FUNDS</t>
  </si>
  <si>
    <t xml:space="preserve">Add: </t>
  </si>
  <si>
    <t>MOGS - Dr. M.D. Adatia Conference Oration Fund (Corpus)</t>
  </si>
  <si>
    <t>MOGS - Dr. M.D. Adatia Conference Oration Fund (Revenue)</t>
  </si>
  <si>
    <t>MOGS -  Dr. S. J. Penkar &amp; Dr. Marie Pereira Silver Jubilee Conference Oration Fund (Corpus)</t>
  </si>
  <si>
    <t>Utilization during the year on Prizes Awarded</t>
  </si>
  <si>
    <t>PRIZE FUNDS</t>
  </si>
  <si>
    <t>Amount transferred from Revenue A/c</t>
  </si>
  <si>
    <t>AWARDS &amp; SCHOLARSHIP FUNDS</t>
  </si>
  <si>
    <t>MOGS-Late Dr N. A. Purandare Conference Fund (Corpus)</t>
  </si>
  <si>
    <t>MOGS-Late Dr N. A. Purandare Conference Fund (Revenue)</t>
  </si>
  <si>
    <t>MOGS - Dr.Bhanuben M. Nanavati Loan Scholarship for Overseas Studies Fund (Revenue)</t>
  </si>
  <si>
    <t>MOGS - Dr.Bhanuben M. Nanavati Loan Scholarship for Overseas Studies Fund (Corpus)</t>
  </si>
  <si>
    <t>Utilization during the year on Award Expenses</t>
  </si>
  <si>
    <t>Utilization during the year on Post Graduation Pro. Exp</t>
  </si>
  <si>
    <t>LIBRARY FUNDS</t>
  </si>
  <si>
    <t>MOGS - Library &amp; Clinic Activities Fund (Revenue)</t>
  </si>
  <si>
    <t>MOGS - Late Dr. Shirin Mehtaji Video Library Fund (Revenue)</t>
  </si>
  <si>
    <t>MOGS - Late Dr. Shirin Mehtaji Video Library Fund (Corpus)</t>
  </si>
  <si>
    <t>MOGS - Contingency Reserve Fund (Corpus)</t>
  </si>
  <si>
    <t>MOGS - Contingency Reserve Fund (Revenue)</t>
  </si>
  <si>
    <t>MISCELLANEOUS FUNDS</t>
  </si>
  <si>
    <t>SCHEDULE - B</t>
  </si>
  <si>
    <t>SCHEDULE - C</t>
  </si>
  <si>
    <t>Investment of Other Earmarked Fund</t>
  </si>
  <si>
    <t>ORATION FUND</t>
  </si>
  <si>
    <t>Overseas Studies Fund (Corpus)</t>
  </si>
  <si>
    <t>Oration Fund (Corpus)</t>
  </si>
  <si>
    <t xml:space="preserve">MOGS -  Dr. S. J. Penkar &amp; Dr. Marie Pereira Silver Jubilee Conference </t>
  </si>
  <si>
    <t>AWARD &amp; SCHOLARSHIP FUNDS</t>
  </si>
  <si>
    <t>Mogs - Dr. N. A. Purandare Post Graduate Training Prog.(Corpus)</t>
  </si>
  <si>
    <t>B)</t>
  </si>
  <si>
    <t>A)</t>
  </si>
  <si>
    <t>TOTAL A) GENERAL INVESTMENT</t>
  </si>
  <si>
    <t>GRAND TOTAL (A) + (B)</t>
  </si>
  <si>
    <t>MOGS CONTINGENCY RESERVE FUNDS</t>
  </si>
  <si>
    <t>SCHEDULE - D</t>
  </si>
  <si>
    <t>Office Premise</t>
  </si>
  <si>
    <t>SCHEDULE - E</t>
  </si>
  <si>
    <t>TOTAL - SCHEDULE E</t>
  </si>
  <si>
    <t>(As Per Schedule A)</t>
  </si>
  <si>
    <t>(As Per Schedule B)</t>
  </si>
  <si>
    <t>(As Per Schedule C)</t>
  </si>
  <si>
    <t>(As Per Schedule D)</t>
  </si>
  <si>
    <t>(As Per Schedule E)</t>
  </si>
  <si>
    <t>Registration No. E - 953 (MUMBAI)</t>
  </si>
  <si>
    <t>THE MUMBAI PUBLIC TRUST ACT, 1950, SCHEDULE VIII / VIDE RULE 17(1)</t>
  </si>
  <si>
    <t>Mumbai,</t>
  </si>
  <si>
    <t xml:space="preserve">MOGS - Dr. B. N. Purandare Outstanding Services Award Fund (Corpus) </t>
  </si>
  <si>
    <t>Rate of Dep.</t>
  </si>
  <si>
    <t xml:space="preserve">MOGS - Dr. H.D.Pai  Prize Fund (Revenue) </t>
  </si>
  <si>
    <t xml:space="preserve">MOGS - Dr.Rishma Pai &amp; Dr. H.D.Pai Quiz  Fund (Corpus)  </t>
  </si>
  <si>
    <t xml:space="preserve">MOGS - Dr. Rishma &amp; Hrishikesh Pai Quiz Fund (Corpus) </t>
  </si>
  <si>
    <t xml:space="preserve">Cash Balance </t>
  </si>
  <si>
    <t>MOGS - Dr. H. Desa Silver Jubilee Prize Fund (Corpus)</t>
  </si>
  <si>
    <t>MOGS - Dr. H. Desa Silver Jubilee Prize Fund (Revenue)</t>
  </si>
  <si>
    <t>Respective Corpus A/c.</t>
  </si>
  <si>
    <t xml:space="preserve">Respective Corpus A/c </t>
  </si>
  <si>
    <t>Respective Corpus A/c</t>
  </si>
  <si>
    <t xml:space="preserve">MOGS - Community &amp; Public Service Activity Fund (Corpus) </t>
  </si>
  <si>
    <t>MOGS -  Public Service Activity Fund (Corpus)</t>
  </si>
  <si>
    <t>(Partner) M.No 131041</t>
  </si>
  <si>
    <t>Fixed Assets :</t>
  </si>
  <si>
    <t>MOGS - PREMISES MAINTENANCE FUND (REVENUE)</t>
  </si>
  <si>
    <t>P. Y.</t>
  </si>
  <si>
    <t>(Trustee)</t>
  </si>
  <si>
    <t>MOGS -  Dr. S. J. Penkar &amp; Dr. Marie Pereira Silver Jubilee Conference Oration Fund (Revenue)</t>
  </si>
  <si>
    <t>MOGS DR. Ashok Mehra Prize Fund (Corpus)</t>
  </si>
  <si>
    <t>MOGS DR. Ashok Mehra Prize Fund (Revenue)</t>
  </si>
  <si>
    <t>MOGS- Dr S. D. Upasani Charitable Trust Fund(Corpus)</t>
  </si>
  <si>
    <t xml:space="preserve">Mogs Dr. Ashok Mehra Prize Fund </t>
  </si>
  <si>
    <t>As per Resolution No.                     Dated</t>
  </si>
  <si>
    <t xml:space="preserve">MOGS - Dr. Ganatra  charitable medical trust (Revenue) </t>
  </si>
  <si>
    <t xml:space="preserve"> </t>
  </si>
  <si>
    <t>The above Balance Sheet to the best of my/our belief contains a true account of the Funds and Liabilities and of the Property and Assets of the Trust.</t>
  </si>
  <si>
    <t>For THE MUMBAI OBSTETRIC &amp; GYNECOLOGICAL SOCIETY</t>
  </si>
  <si>
    <t>Unutilized Amount of Revenue A/c transferred to</t>
  </si>
  <si>
    <t>(As Per Resolution)</t>
  </si>
  <si>
    <t>Amount Transferred from Revenue A/c</t>
  </si>
  <si>
    <t xml:space="preserve">Unutilized Amount of Revenue A/c transferred to </t>
  </si>
  <si>
    <t xml:space="preserve">MOGS - Dr. C.G. Saraiya Traveling Fellowship Fund (Corpus) </t>
  </si>
  <si>
    <t xml:space="preserve">MOGS - Dr. C.G. Saraiya Traveling Fellowship Fund (Revenue) </t>
  </si>
  <si>
    <t>Utilization during the year for Traveling Exp.</t>
  </si>
  <si>
    <t>Utilization during the year on Traveling Exp</t>
  </si>
  <si>
    <t>TOTAL (B) OTHER EARMARKED FUNDS</t>
  </si>
  <si>
    <t>ACADEMIC ACTIVITIES FUNDS</t>
  </si>
  <si>
    <t>MOGS - Shantabai Gulabchand Traveling Fellowship Award (Corpus)</t>
  </si>
  <si>
    <t>THE MUMBAI OBSTETRIC &amp; GYNECOLOGICAL SOCIETY</t>
  </si>
  <si>
    <t>Annexure to Audit Report under Sun-Section 2 of 33 &amp; 34 and Rule 19 of the Bombay</t>
  </si>
  <si>
    <t>SCHEDULE "8"</t>
  </si>
  <si>
    <t>NOTES FORMING PART OF ACCOUNTS</t>
  </si>
  <si>
    <t>SIGNIFICANT OF ACCOUNTING POLICIES :-</t>
  </si>
  <si>
    <t>I) METHOD OF ACCOUNTING :</t>
  </si>
  <si>
    <t xml:space="preserve">   All income &amp; expenditure items having a matering bearing on financial statement are</t>
  </si>
  <si>
    <t xml:space="preserve">   recognised on  Cash basis.</t>
  </si>
  <si>
    <t>ii) FIXED ASSETS:</t>
  </si>
  <si>
    <t>iii) INVESTMENTS:</t>
  </si>
  <si>
    <t xml:space="preserve">  Investments are stated at the Cost Value.</t>
  </si>
  <si>
    <t>iv) DEPRECIATION:</t>
  </si>
  <si>
    <t xml:space="preserve">  Depreciation on Fixed Assets have been provided on Written down value as per the </t>
  </si>
  <si>
    <t>v) RETIREMENT BENEFITS:</t>
  </si>
  <si>
    <t xml:space="preserve">  Gratuity &amp; Leave encashment is accounted when the payment is made.  No provision</t>
  </si>
  <si>
    <t xml:space="preserve">   is made for these expenses as per AS-15 "Accounting for Retirement Benefits in Financial </t>
  </si>
  <si>
    <t xml:space="preserve">   Statements of Employers".</t>
  </si>
  <si>
    <t>Accompanying our report of even date</t>
  </si>
  <si>
    <t>FOR AMBALAL THAKKAR &amp; ASSOCIATES</t>
  </si>
  <si>
    <t xml:space="preserve">FOR THE MUMBAI OBSTETRIC &amp; </t>
  </si>
  <si>
    <t>CHARTERED ACCOUNTANTS</t>
  </si>
  <si>
    <t>GYNAECOLOGICAL SOCIETY.</t>
  </si>
  <si>
    <t>(CA  Ganesh K. Bhat  )</t>
  </si>
  <si>
    <t>Partner</t>
  </si>
  <si>
    <t>M.NO. 131041</t>
  </si>
  <si>
    <t>PLACE : MUMBAI</t>
  </si>
  <si>
    <t>President</t>
  </si>
  <si>
    <t>Secretary</t>
  </si>
  <si>
    <t>Treasurer</t>
  </si>
  <si>
    <r>
      <t>vi) Figures in bracket represent negative figures.</t>
    </r>
    <r>
      <rPr>
        <sz val="11"/>
        <rFont val="Arial"/>
        <family val="2"/>
      </rPr>
      <t/>
    </r>
  </si>
  <si>
    <t>Unutilized Amount of Revenue A/c transferred from</t>
  </si>
  <si>
    <t>MOGS Premises Maintainance Fund</t>
  </si>
  <si>
    <t>Transferred from Income &amp; Expenditure A/C</t>
  </si>
  <si>
    <t xml:space="preserve">MOGS - Dr. Ganatra  Charitable Medical Centre Awards Fund (Corpus) </t>
  </si>
  <si>
    <t xml:space="preserve">Utilization during the year on Mementos </t>
  </si>
  <si>
    <t>Saving Bank Accounts With State Bank of India A/C 4166</t>
  </si>
  <si>
    <t xml:space="preserve"> Life Membership Fees</t>
  </si>
  <si>
    <t xml:space="preserve">Amount transferred from Revenue A/c </t>
  </si>
  <si>
    <t>Signatories to Schedule "A" to "F" &amp; Schedule "1" to "7".</t>
  </si>
  <si>
    <t>`</t>
  </si>
  <si>
    <t>MOGS-Dr. R.D Pandit Prize Fund (Corpus)</t>
  </si>
  <si>
    <t>Utilization during the year for Expenses</t>
  </si>
  <si>
    <t xml:space="preserve">MOGS - Dr. H.S Palep Prize Fund (Corpus) </t>
  </si>
  <si>
    <t>MOGS -  Community &amp; Public Service Activity Fund (Corpus)</t>
  </si>
  <si>
    <t xml:space="preserve">MOGS - Dr. R.D Pandit Prize Fund (Corpus) </t>
  </si>
  <si>
    <t>Stock of Postage</t>
  </si>
  <si>
    <t>MOGS-Dr. H. S Palep Prize Fund (Corpus)</t>
  </si>
  <si>
    <t>Amount trf from Income &amp; Expenditure A/C</t>
  </si>
  <si>
    <t>MOGS-Prof. Khurshed &amp; Dr. Sonu Sheriar Best Youth Council Member Award Fund (Corpus)</t>
  </si>
  <si>
    <t xml:space="preserve">Less: </t>
  </si>
  <si>
    <t xml:space="preserve">MOGS - Community &amp; Public Service Activity Fund (Revenue) </t>
  </si>
  <si>
    <t>MOGS-Prof. Khurshed &amp; Dr. Soonu Sheriar Best Youth Council Member Award Fund (Corpus)</t>
  </si>
  <si>
    <t>Transferred to Trust Corpus Fund A/C</t>
  </si>
  <si>
    <t xml:space="preserve">Utilization during the year for Mementos </t>
  </si>
  <si>
    <t xml:space="preserve">MOGS - Dr. Pramila Bhatia's Young Scientist Award Fund (Revenue) </t>
  </si>
  <si>
    <t>Utilized During the year for Momento Exp</t>
  </si>
  <si>
    <t>Utilization on Expenses for CME</t>
  </si>
  <si>
    <t xml:space="preserve">MOGS - Late Dr.M.Y.Raval Oration Fund (Corpus) </t>
  </si>
  <si>
    <t xml:space="preserve">MOGS - Late Dr.M.Y.Rawal Oration Fund (Revenue) </t>
  </si>
  <si>
    <t xml:space="preserve">MOGS - Late Dr. M. Y. Raval Oration Fund (Corpus) </t>
  </si>
  <si>
    <t xml:space="preserve">Unutilized Amount of Revenue A/c </t>
  </si>
  <si>
    <t>transferred to Respective Corpus  A/c</t>
  </si>
  <si>
    <t>respective Corpus  A/c</t>
  </si>
  <si>
    <t>respective Corpus A/c</t>
  </si>
  <si>
    <t>MOGS-Dr. Shantabai Gulabchand Traveling Fellowship Awards Fund (Corpus)</t>
  </si>
  <si>
    <t>MOGS-Dr. Shantabai Gulabchand Traveling Fellowship Awards Fund (Revenue)</t>
  </si>
  <si>
    <t>Transferred from Income &amp; Expenditure A/c</t>
  </si>
  <si>
    <t>As per Resolution No.                 Dated</t>
  </si>
  <si>
    <t xml:space="preserve">Amount transferred from Income &amp; </t>
  </si>
  <si>
    <t>Expenditure A/c</t>
  </si>
  <si>
    <t>Liabilities :-</t>
  </si>
  <si>
    <t>LIABILITIES FOR EXPENSES</t>
  </si>
  <si>
    <t>TOTAL - SCHEDULE B</t>
  </si>
  <si>
    <t>SCHEDULE - F</t>
  </si>
  <si>
    <t>TOTAL - SCHEDULE F</t>
  </si>
  <si>
    <t>(As Per Schedule F)</t>
  </si>
  <si>
    <r>
      <t>TOTAL (</t>
    </r>
    <r>
      <rPr>
        <b/>
        <sz val="12"/>
        <rFont val="Rupee Foradian"/>
        <family val="2"/>
      </rPr>
      <t>`)</t>
    </r>
  </si>
  <si>
    <r>
      <t xml:space="preserve">Name of the Public Trust : </t>
    </r>
    <r>
      <rPr>
        <b/>
        <sz val="12"/>
        <color indexed="8"/>
        <rFont val="Cambria"/>
        <family val="1"/>
      </rPr>
      <t>THE MUMBAI OBSTETRIC &amp; GYNECOLOGICAL SOCIETY</t>
    </r>
  </si>
  <si>
    <r>
      <t xml:space="preserve">       ( Total </t>
    </r>
    <r>
      <rPr>
        <b/>
        <sz val="12"/>
        <rFont val="Rupee Foradian"/>
        <family val="2"/>
      </rPr>
      <t>`)</t>
    </r>
  </si>
  <si>
    <r>
      <t xml:space="preserve">   </t>
    </r>
    <r>
      <rPr>
        <sz val="12"/>
        <rFont val="Cambria"/>
        <family val="1"/>
      </rPr>
      <t xml:space="preserve"> Fixed Assets have been stated at Written down value.</t>
    </r>
  </si>
  <si>
    <t>Rs.</t>
  </si>
  <si>
    <t xml:space="preserve">Mogs Dr. G. B. Belvi Opreative &amp; Emeg. </t>
  </si>
  <si>
    <t>MOGS-Dr R. D. Pandit Prize Fund (Revenue)</t>
  </si>
  <si>
    <t>MOGS-Dr H.S.Palep Prize Fund (Revenue)</t>
  </si>
  <si>
    <t>MOGS-Dr. G.B.Belvi Prize Fund (Corpus)</t>
  </si>
  <si>
    <t>MOGS-Dr G.B.Belvi Prize Fund (Revenue)</t>
  </si>
  <si>
    <t>Service Tax Collected</t>
  </si>
  <si>
    <t>BOB - Fixed Deposits</t>
  </si>
  <si>
    <t xml:space="preserve">HDFC - Fixed Deposits </t>
  </si>
  <si>
    <t xml:space="preserve">Utilization during the year </t>
  </si>
  <si>
    <t xml:space="preserve">   rates prescribed in the Income Tax Rules, 1962</t>
  </si>
  <si>
    <t>RS.</t>
  </si>
  <si>
    <t>MOGS-Prof. Khurshed &amp; Dr. Soonu Sheriar Best Youth Council Member Award Fund (Revenue)</t>
  </si>
  <si>
    <t>Amount  transferred from Income &amp;</t>
  </si>
  <si>
    <t xml:space="preserve"> Entrance  Fees</t>
  </si>
  <si>
    <t>Utilized during the year for Loan Scholarship</t>
  </si>
  <si>
    <t xml:space="preserve">Life Membership Account with State Bank Of India A/C No.4144 </t>
  </si>
  <si>
    <t>Utilization during the year for Mementos</t>
  </si>
  <si>
    <t>Utilization during the year for Flower &amp; Mementos</t>
  </si>
  <si>
    <t>Utilization During the Year for Various Programs &amp; Camps</t>
  </si>
  <si>
    <t>Bank of India</t>
  </si>
  <si>
    <t>Cpntingency Fund (Multidisipinery Fund)</t>
  </si>
  <si>
    <t>MOGS - C.G.Sariya Travelling Fellowship Fund</t>
  </si>
  <si>
    <t>MOGS - N.A.Pandit &amp; Shailaja Pandit Awards</t>
  </si>
  <si>
    <t>MOGS-Dr. Shailaja &amp; A Pandit Empowerment of Women (Corpus)</t>
  </si>
  <si>
    <t>MOGS-Dr. Shailaja &amp; A Pandit Empowerment of Women (Revenue)</t>
  </si>
  <si>
    <t>Amount  Received  Againest repayment of Loan</t>
  </si>
  <si>
    <t>As per Resolution No.                     Dated. 21/09/14</t>
  </si>
  <si>
    <t>MOGS - PREMISES MAINTENANCE FUND (CORPUS) UTILISED ACCOUNT</t>
  </si>
  <si>
    <t>Transferred from Premises Maintenance Fund Corpus  A/C</t>
  </si>
  <si>
    <t>CA Ganesh K.Bhat</t>
  </si>
  <si>
    <t>MOGS - Dr. Ameet Patki Be Global Touch Local Fund</t>
  </si>
  <si>
    <t xml:space="preserve">Office </t>
  </si>
  <si>
    <t>Equipment</t>
  </si>
  <si>
    <t>MOGS-Dr. Ameet Patki Be global Touch Local Fund (Corpus)</t>
  </si>
  <si>
    <t>MOGS-Dr. Ameet Patki Be global Touch Local Fund (Revenue)</t>
  </si>
  <si>
    <t>Amount  transferred to Income &amp;</t>
  </si>
  <si>
    <t>Amount  transferred to  Income &amp;</t>
  </si>
  <si>
    <t>MOGS - Violance Againest Womens Fund (Corpus)</t>
  </si>
  <si>
    <t>Expenditure A/c (As per Resolution No   Dated       )</t>
  </si>
  <si>
    <t>MOGS - Violance Againest Womens Fund (Revenue)</t>
  </si>
  <si>
    <t>MOGS - Development Fund (Corpus)</t>
  </si>
  <si>
    <t>MOGS - Development Fund (Revenue)</t>
  </si>
  <si>
    <t xml:space="preserve">As per Resolution No.                     Dated. </t>
  </si>
  <si>
    <t>MOGS -Development Fund</t>
  </si>
  <si>
    <t>MOGS -Voilance Againest Women Fund</t>
  </si>
  <si>
    <t>Interest on General FD due but not yet Received.</t>
  </si>
  <si>
    <t>Security Deposit Kamala Mills City Refundable</t>
  </si>
  <si>
    <t xml:space="preserve">Utilization on Expenses </t>
  </si>
  <si>
    <t>MOGS - Overseas Travelling Scholarship</t>
  </si>
  <si>
    <t>KKC Charged</t>
  </si>
  <si>
    <t>MOGS - Academic Grant for Young Member Revenue</t>
  </si>
  <si>
    <t>MOGS - Overseas Travelling Scholarship Revenue</t>
  </si>
  <si>
    <t>Amount Transferred to Respective corpus</t>
  </si>
  <si>
    <t>I.T.Refund &amp; TDS Receivable</t>
  </si>
  <si>
    <t>Total (Rs.)</t>
  </si>
  <si>
    <t xml:space="preserve">Less : </t>
  </si>
  <si>
    <t>hdfc fd</t>
  </si>
  <si>
    <t>bob fd</t>
  </si>
  <si>
    <t xml:space="preserve">Dated: </t>
  </si>
  <si>
    <t xml:space="preserve">Dated : </t>
  </si>
  <si>
    <t>Utilized during the year</t>
  </si>
  <si>
    <t>Amount Utilized during the year</t>
  </si>
  <si>
    <t xml:space="preserve">Utilization During the Year </t>
  </si>
  <si>
    <t>MUMBAI OBSTETRIC &amp; GYNECOLOGICAL SOCIETY</t>
  </si>
  <si>
    <t xml:space="preserve">DETAILS OF NET WORTH &amp; INTEREST APPROPRIATION MADE </t>
  </si>
  <si>
    <t>PARTICULAR</t>
  </si>
  <si>
    <t>Total Interest recd.</t>
  </si>
  <si>
    <t>Interest transferred to various Funds A/c</t>
  </si>
  <si>
    <t>Balance Interest for use of Trust</t>
  </si>
  <si>
    <t>(Credited to  I &amp; E A/C)</t>
  </si>
  <si>
    <t>Calculation of Interest Rate</t>
  </si>
  <si>
    <t>(Standard Rate)</t>
  </si>
  <si>
    <t>Various Funds of MOGS</t>
  </si>
  <si>
    <t>TRUST CORPUS</t>
  </si>
  <si>
    <t xml:space="preserve">ADD: I &amp; E A/C </t>
  </si>
  <si>
    <t>LESS: FIXED ASSETS</t>
  </si>
  <si>
    <t>TOTAL FUNDS</t>
  </si>
  <si>
    <t>OTHER EARMARKED FUND</t>
  </si>
  <si>
    <t xml:space="preserve">NET WORTH </t>
  </si>
  <si>
    <t xml:space="preserve">          APPROPRIATED ON PRO RATA BASIS AMONG THE VARIOUS FUND.</t>
  </si>
  <si>
    <t>Transferred to Trust Corpus A/C</t>
  </si>
  <si>
    <t>Transferred from Premises Utilzation Fund A/C</t>
  </si>
  <si>
    <t>MOGS - Academic Grant for Young Member (Corpus)</t>
  </si>
  <si>
    <t>GST Payable</t>
  </si>
  <si>
    <t>Add: During Year</t>
  </si>
  <si>
    <t>Mogs - Dr. Shirish Sheth Annual Pre-congress Workshop (Corpus)</t>
  </si>
  <si>
    <t>Mogs - Dr. Nanadit Palshetkar Post Graduation CME Fund</t>
  </si>
  <si>
    <t>Add:- During Year</t>
  </si>
  <si>
    <t>MOGS - DR . NANDITA PALSHETKAR POST GRADUATE CME (CORPUS)</t>
  </si>
  <si>
    <t>SBC Charged</t>
  </si>
  <si>
    <t>FOGSI POPULIATION STABILIZATION</t>
  </si>
  <si>
    <t>Utilised During the year</t>
  </si>
  <si>
    <t>GST INPUT on FEM CONFRANCE 2017</t>
  </si>
  <si>
    <t xml:space="preserve">FOGSI Dr. DURU SHAH YOUTH TROPHY PRIZE </t>
  </si>
  <si>
    <t>AICC RCOG 2017(TDS Payable)</t>
  </si>
  <si>
    <t>MOGS - DR . SHIRISH SHETH ANNUAL PRE CONG. WORKSHOP  (Revenue)</t>
  </si>
  <si>
    <t>MOGS - DR . SHIRISH SHETH ANNUAL PRE CONG. WORKSHOP (CORPUS)</t>
  </si>
  <si>
    <t>Utilization on Expenses for Momento</t>
  </si>
  <si>
    <t>Utilization during the year  for monento</t>
  </si>
  <si>
    <t>Utilization during the year for the monento</t>
  </si>
  <si>
    <t>Utilization on Memontos</t>
  </si>
  <si>
    <t>Utilized during the year for  Mementos</t>
  </si>
  <si>
    <t>Utilization during the year for  Mementos</t>
  </si>
  <si>
    <t>Utilization during the year on Expenses</t>
  </si>
  <si>
    <t>GST Input Credit</t>
  </si>
  <si>
    <t xml:space="preserve">              Report of an auditor relating to accounts audited</t>
  </si>
  <si>
    <t xml:space="preserve">              under  sub-section (2)  of  section  33 &amp; 34  and</t>
  </si>
  <si>
    <t xml:space="preserve">              rule 19 of the Bombay Public Trusts Act.</t>
  </si>
  <si>
    <t xml:space="preserve">Registration No. : </t>
  </si>
  <si>
    <t xml:space="preserve">Name of the Public Trust : </t>
  </si>
  <si>
    <t>For the year ending :</t>
  </si>
  <si>
    <t>(a)</t>
  </si>
  <si>
    <t>Whether accounts are maintained regularly and in accordance with the provisions of the Act and the rules ;</t>
  </si>
  <si>
    <t>YES</t>
  </si>
  <si>
    <t>(b)</t>
  </si>
  <si>
    <t>Whether receipts and disbursements are properly and correctly shown in accounts ;</t>
  </si>
  <si>
    <t>(c)</t>
  </si>
  <si>
    <t>Whether the cash balance and vouchers in the custody of the manager or trustee on the date of audit were in agreement with the accounts ;</t>
  </si>
  <si>
    <t>(d)</t>
  </si>
  <si>
    <t>Whether all books, deeds, accounts, vouchers or other documents or records required by the auditor were produced before him ;</t>
  </si>
  <si>
    <t>(e)</t>
  </si>
  <si>
    <t>Whether a register of movable and immovable properties is properly maintained, the changes therein are communicated from time to time to the regional office, and the defects and inaccuracies mentioned in the previous audit report have been duly complied w</t>
  </si>
  <si>
    <t>(f)</t>
  </si>
  <si>
    <t>Whether the manager or trustee or any other person required by the auditor to appear before him did so and furnished the necessary information required by him ;</t>
  </si>
  <si>
    <t>(g)</t>
  </si>
  <si>
    <t>Whether any property or funds of the Trust were applied for any object or purpose other than the object or purpose of the Trust ;</t>
  </si>
  <si>
    <t>NO</t>
  </si>
  <si>
    <t>(h)</t>
  </si>
  <si>
    <t>The amounts of outstandings for more  than one year and the amounts written off, if any ;</t>
  </si>
  <si>
    <t>NIL</t>
  </si>
  <si>
    <t>(I)</t>
  </si>
  <si>
    <t>Whether tenders were invited for repairs or construction involving expenditure exceeding Rs. 5000/- ;</t>
  </si>
  <si>
    <t>(j)</t>
  </si>
  <si>
    <t>Whether any moneyof the public trust has been invested contrary to the provisions of section 35 ;</t>
  </si>
  <si>
    <t>(k)</t>
  </si>
  <si>
    <t>Alienation, if any, of the immovable property contrary to the provisions of section 36 which have come to the notice of the auditor ;</t>
  </si>
  <si>
    <t>(l)</t>
  </si>
  <si>
    <t>All cases of irregular, illegal or improper expenditure, or failure or ommission to recover monies or other property belonging to the public trust or of loss or waste of money or other property thereof, and whether such expenditure, failure, omission, los</t>
  </si>
  <si>
    <t>(m)</t>
  </si>
  <si>
    <t>Whether the budget has been filed in the form provided by rule 16A ;</t>
  </si>
  <si>
    <t>(n)</t>
  </si>
  <si>
    <t>Whether the maximum and minimum number of the trustees is maintained ;</t>
  </si>
  <si>
    <t>(o)</t>
  </si>
  <si>
    <t>Whether the meetings are held regularly as provided in such instruments ;</t>
  </si>
  <si>
    <t>(p)</t>
  </si>
  <si>
    <t>Whether the minutes books of the proceedings of the meetings is maintained ;</t>
  </si>
  <si>
    <t>(q)</t>
  </si>
  <si>
    <t>Whether any of the trustees has any interest in the investment of the trust ;</t>
  </si>
  <si>
    <t>(r)</t>
  </si>
  <si>
    <t>Whether any of the trustees is a debtor or creditor of the trust ;</t>
  </si>
  <si>
    <t>(s)</t>
  </si>
  <si>
    <t>Whether any irregularities pointed out by the auditors in the accounts of the previous year have been duly complied with by the trustees during the period of audit ;</t>
  </si>
  <si>
    <t>N.A.</t>
  </si>
  <si>
    <t>(t)</t>
  </si>
  <si>
    <t>Any special matter which the auditor may think fit or necessary to bring to the notice of the Deputy or Assistant Charity Commissioner.</t>
  </si>
  <si>
    <t xml:space="preserve">           Place :</t>
  </si>
  <si>
    <t>Mumbai</t>
  </si>
  <si>
    <t xml:space="preserve">                                      The Bombay Public Trusts Act, 1950</t>
  </si>
  <si>
    <t xml:space="preserve">                                                 SCHEDULE - IX C</t>
  </si>
  <si>
    <t xml:space="preserve">                                                       ( Vide Rule 32 )</t>
  </si>
  <si>
    <t xml:space="preserve">Statement  of  Income  liable  to  contribution  for  the year ending </t>
  </si>
  <si>
    <r>
      <t xml:space="preserve">Name of Public Trust : </t>
    </r>
    <r>
      <rPr>
        <b/>
        <sz val="10"/>
        <rFont val="Arial"/>
        <family val="2"/>
      </rPr>
      <t>WALKESHWAR MAHILA MANDAL</t>
    </r>
  </si>
  <si>
    <t>Registered No.</t>
  </si>
  <si>
    <t xml:space="preserve">       Rs.          P.</t>
  </si>
  <si>
    <t>I.</t>
  </si>
  <si>
    <t>Income as shown in the Income and Expenditure Account (Schedule IX)</t>
  </si>
  <si>
    <t>II.</t>
  </si>
  <si>
    <t>Items not chargeable to Contribution under Section 58 and Rules 32 :</t>
  </si>
  <si>
    <t>Donations received from other Public Trusts and Dharmadas</t>
  </si>
  <si>
    <t>(ii)</t>
  </si>
  <si>
    <t>Grants received from Government and Local authorities</t>
  </si>
  <si>
    <t>(iii)</t>
  </si>
  <si>
    <t>Interest on Sinking or Depreciation Fund</t>
  </si>
  <si>
    <t>(iv)</t>
  </si>
  <si>
    <t>Amount spent for the purpose of secular education</t>
  </si>
  <si>
    <t>(v)</t>
  </si>
  <si>
    <t>Amount spent for the purpose of medical relief</t>
  </si>
  <si>
    <t>(vi)</t>
  </si>
  <si>
    <t>Amount spent for the purpose of veterinary treatment of animals</t>
  </si>
  <si>
    <t>(Sewing Class Expenses)</t>
  </si>
  <si>
    <t>(vii)</t>
  </si>
  <si>
    <t>Expenditure incurred from donations for relief of distress caused by scarcity, drought, flood, fire or other natural calamity</t>
  </si>
  <si>
    <t>(viii)</t>
  </si>
  <si>
    <r>
      <t xml:space="preserve">Deductions out of income from lands used for agricultural purposes :- </t>
    </r>
    <r>
      <rPr>
        <b/>
        <sz val="10"/>
        <rFont val="Arial"/>
        <family val="2"/>
      </rPr>
      <t>(Hall Expenses)</t>
    </r>
  </si>
  <si>
    <r>
      <t xml:space="preserve">( a )  Land Revenue and Local Fund Cess </t>
    </r>
    <r>
      <rPr>
        <b/>
        <sz val="10"/>
        <rFont val="Arial"/>
        <family val="2"/>
      </rPr>
      <t>(Salary to Staff)</t>
    </r>
  </si>
  <si>
    <t>( b )  Rent payable to superior landlord</t>
  </si>
  <si>
    <t>( c )  Cost of production, if lands are cultivated by</t>
  </si>
  <si>
    <t xml:space="preserve">        Trust</t>
  </si>
  <si>
    <t>(ix)</t>
  </si>
  <si>
    <t xml:space="preserve">Deductions out of income from lands used for non-agricultural purposes :- </t>
  </si>
  <si>
    <t>( a )  Assessment, cesses and other Government</t>
  </si>
  <si>
    <t xml:space="preserve">        or Municipal Taxes</t>
  </si>
  <si>
    <t>( b )  Ground rent payable to the superior landlord</t>
  </si>
  <si>
    <t>( c )  Insurance premia</t>
  </si>
  <si>
    <t>( d )  Repairs at 10 per cent of gross rent of building</t>
  </si>
  <si>
    <t xml:space="preserve">( e )  Cost of collection at  4  per cent of  gross rent </t>
  </si>
  <si>
    <t xml:space="preserve">        of building let out</t>
  </si>
  <si>
    <t>(x)</t>
  </si>
  <si>
    <t>Cost of collection of income or receipts from securities, stocks, etc. at 1 per cent of such income</t>
  </si>
  <si>
    <t xml:space="preserve">(xi) </t>
  </si>
  <si>
    <t>Deductions on account of repairs in respect of buildings not rented and yielding no income, at 10 per cent of the estimated gross annual rent</t>
  </si>
  <si>
    <t xml:space="preserve">          Gross Annual Income chargeable to contribution Rs.</t>
  </si>
  <si>
    <t>Certified that while claiming deductions admissible under the above Schedule, the Trust has not claimed any amount twice, either wholly or partly, against any of the items mentioned in the Schedule which have the effect of double deduction.</t>
  </si>
  <si>
    <t>E - 953 (MUMBAI)</t>
  </si>
  <si>
    <t>Trust Address : C-114, 1st Floor, Trade World, D wing Enterance, S B Marg, kamala City, Lower Parel, Mumbai -400013</t>
  </si>
  <si>
    <t xml:space="preserve">PLACE : MUMBAI   </t>
  </si>
  <si>
    <t>MOGS - DR . NANDITA PALSHETKAR POST GRADUATE CME (REVENUE)</t>
  </si>
  <si>
    <t>MOGS - DR . USHA KRISHNA ORATION FUND (CORPUS)</t>
  </si>
  <si>
    <t>MOGS - DR .USHA KRISHNA ORATION FUND  (REVENUE)</t>
  </si>
  <si>
    <t>Add: During year</t>
  </si>
  <si>
    <t>Less: During Year</t>
  </si>
  <si>
    <t>Add : During Year</t>
  </si>
  <si>
    <t>MOGS - Usha Krishna oration Fund</t>
  </si>
  <si>
    <t>.</t>
  </si>
  <si>
    <t>MOGS APP</t>
  </si>
  <si>
    <t>Add: During the Year</t>
  </si>
  <si>
    <t>Add : during the year</t>
  </si>
  <si>
    <t>Add: During the year</t>
  </si>
  <si>
    <t>Add: during the year</t>
  </si>
  <si>
    <t>Add : During the year</t>
  </si>
  <si>
    <t xml:space="preserve">Less: During the year </t>
  </si>
  <si>
    <t>diff</t>
  </si>
  <si>
    <t>less: AICOG 2013 FD'S</t>
  </si>
  <si>
    <t>Less: next year 2019-20</t>
  </si>
  <si>
    <t>total diff</t>
  </si>
  <si>
    <t>as per physical verification 31.03.2019</t>
  </si>
  <si>
    <t>DURING THE YEAR 01/04/2019 TO 31/03/2020</t>
  </si>
  <si>
    <t>MOGS - Dr Bipin Pandit Healing hands caring hearts fund</t>
  </si>
  <si>
    <t>TDS Receivable for A.Y. 2020 - 2021</t>
  </si>
  <si>
    <t>MOGS C2D2 Conference</t>
  </si>
  <si>
    <t>Creditors</t>
  </si>
  <si>
    <t>Fogsi Building fund Revenue payable</t>
  </si>
  <si>
    <t>MOGS - DR. Bipin Pandit Healing Hand Caring Heart (Corpus)</t>
  </si>
  <si>
    <t>MOGS - DR. Bipin Pandit Healing Hand Caring Heart (Revenue)</t>
  </si>
  <si>
    <t>GST Receivable</t>
  </si>
  <si>
    <t>TDS Receivable a.y. 19-20</t>
  </si>
  <si>
    <t>TDS Receivable a.y. 20-21</t>
  </si>
  <si>
    <t>MOGS Menstrual Hyiene Project Fund (Corpus)</t>
  </si>
  <si>
    <t>MOGS Menstrual Hyiene Project Fund (Revenue)</t>
  </si>
  <si>
    <t>NOTE: RATE OF INTEREST 5.1 % ON (TOTAL INTEREST) RS. /-</t>
  </si>
  <si>
    <t>IN TALLY</t>
  </si>
  <si>
    <t>Excess and ineligible of GST  paid</t>
  </si>
  <si>
    <t>GST Input Credit mogs c2d2</t>
  </si>
  <si>
    <t>TDS payable MOGS C2D2</t>
  </si>
  <si>
    <t xml:space="preserve">TDS Payable   </t>
  </si>
  <si>
    <t>V Care &amp; Share acitivity fund (public service activity fund) (Corpus)</t>
  </si>
  <si>
    <t>UDIN:-</t>
  </si>
  <si>
    <t>Schedules forming part of Balance Sheet as on 31ST March, 2022</t>
  </si>
  <si>
    <t>income &amp; E Sch 4</t>
  </si>
  <si>
    <t>total I &amp; e</t>
  </si>
  <si>
    <t>I &amp; E fiexed dep 1%</t>
  </si>
  <si>
    <t xml:space="preserve">MOGS - Dr. Duru Shah Distingulshed Youth  Award Fund (Corpus) </t>
  </si>
  <si>
    <t xml:space="preserve">MOGS -Dr. Duru Shah Distingulshed Youth  Award Fund  (Revenue) </t>
  </si>
  <si>
    <t>Security Deposit With Reliance Retail Ltd</t>
  </si>
  <si>
    <t>MOGS Dr Duru Shah Distinguished Youth Award(Corpus)</t>
  </si>
  <si>
    <t>V Care &amp; Share acitivity fund</t>
  </si>
  <si>
    <t xml:space="preserve">Balance as per last Balance Sheet (Corpus) </t>
  </si>
  <si>
    <t>Educational Grant</t>
  </si>
  <si>
    <t>MOGS Dr. Rasila ajit Mehta For the best Thsis On Fetal Medicine</t>
  </si>
  <si>
    <t>V Care &amp; Share acitivity fund (public service activity fund)(Revenue)</t>
  </si>
  <si>
    <t xml:space="preserve">Tranfer from Income and Exp </t>
  </si>
  <si>
    <t>Patron Membership Fees</t>
  </si>
  <si>
    <t>N\A</t>
  </si>
  <si>
    <t xml:space="preserve">       Dated at : </t>
  </si>
  <si>
    <t>31ST MARCH 2023</t>
  </si>
  <si>
    <t xml:space="preserve">DATED: </t>
  </si>
  <si>
    <t>Schedules forming part of Balance Sheet as on 31ST March, 2023</t>
  </si>
  <si>
    <t>Public Trust Act, 1950 for the year ended 31 st March 2023</t>
  </si>
  <si>
    <t xml:space="preserve">DATED : </t>
  </si>
  <si>
    <t xml:space="preserve">UDIN : </t>
  </si>
  <si>
    <t>MOGS Dr. Niranjan N Chavan Vision For Award</t>
  </si>
  <si>
    <t>PROVISIONS ( FOGSI BUILDING FUND)</t>
  </si>
  <si>
    <t>TDS Receivable for A.Y. 2023 - 2024</t>
  </si>
  <si>
    <t>=</t>
  </si>
  <si>
    <t>MOGS AICC RCOG 2022</t>
  </si>
  <si>
    <t>MOGS AICOG 2025</t>
  </si>
  <si>
    <t>00-00-2023</t>
  </si>
  <si>
    <t>Dr. Shailesh Kore</t>
  </si>
  <si>
    <t>Dr. Shailesh Kore(Secretary)</t>
  </si>
  <si>
    <t>Dr. Kedar Ganlar(Treasurer)</t>
  </si>
  <si>
    <t>Dr. Anahita Chauhan (President)</t>
  </si>
  <si>
    <t xml:space="preserve">Dr. Anahita Chauhan </t>
  </si>
  <si>
    <t>Dr. Dr. Kedar Ganlar</t>
  </si>
  <si>
    <t>MOGS Dr. Nayna &amp; Adi Dastur Oration</t>
  </si>
  <si>
    <t>Total Interest Recd</t>
  </si>
  <si>
    <t>Various Funds of AMOGS</t>
  </si>
  <si>
    <t>A</t>
  </si>
  <si>
    <t>Trust Corpus</t>
  </si>
  <si>
    <t>Add : I &amp; E A/c</t>
  </si>
  <si>
    <t>Less : Fixed Assets</t>
  </si>
  <si>
    <t>Total Fund</t>
  </si>
  <si>
    <t>B</t>
  </si>
  <si>
    <t>Other Earmarked Fund</t>
  </si>
  <si>
    <t>Net Worth [ A+ B ]</t>
  </si>
  <si>
    <t>Rate of Interest</t>
  </si>
  <si>
    <t xml:space="preserve">MOGS- History of MOGS Book Fund (Revenue) </t>
  </si>
  <si>
    <t>MOGS New Vistas in Obgs &amp; Gyn Traning Fellowship Fund</t>
  </si>
  <si>
    <t>Dr. Kedar Ganla</t>
  </si>
  <si>
    <t>Dated :</t>
  </si>
  <si>
    <t xml:space="preserve">                         (President)</t>
  </si>
  <si>
    <t>(Secretary)</t>
  </si>
  <si>
    <t>(Treasurer)</t>
  </si>
  <si>
    <t>UDIN NO :</t>
  </si>
  <si>
    <t xml:space="preserve">      (President)</t>
  </si>
  <si>
    <t>Duties &amp; Taxes</t>
  </si>
  <si>
    <t>MOGS - Ajay Mehta ( Fetal Medicine)</t>
  </si>
  <si>
    <t>MOGS - Rishma Dhillon Pai (Personality Award)</t>
  </si>
  <si>
    <t>MOGS - New Vista In Obgs. &amp; Gyna. Training Fellowship Fund</t>
  </si>
  <si>
    <t>Tds Receivable From Party</t>
  </si>
  <si>
    <t>Receivable From Zuvantas</t>
  </si>
  <si>
    <t>Receivable  Golden Jublee</t>
  </si>
  <si>
    <r>
      <t xml:space="preserve">Name of Public Trust : </t>
    </r>
    <r>
      <rPr>
        <b/>
        <sz val="18"/>
        <rFont val="Arial"/>
        <family val="2"/>
      </rPr>
      <t>WALKESHWAR MAHILA MANDAL</t>
    </r>
  </si>
  <si>
    <r>
      <t xml:space="preserve">Deductions out of income from lands used for agricultural purposes :- </t>
    </r>
    <r>
      <rPr>
        <b/>
        <sz val="18"/>
        <rFont val="Arial"/>
        <family val="2"/>
      </rPr>
      <t>(Hall Expenses)</t>
    </r>
  </si>
  <si>
    <r>
      <t xml:space="preserve">( a )  Land Revenue and Local Fund Cess </t>
    </r>
    <r>
      <rPr>
        <b/>
        <sz val="18"/>
        <rFont val="Arial"/>
        <family val="2"/>
      </rPr>
      <t>(Salary to Staff)</t>
    </r>
  </si>
  <si>
    <t>Dr. Shailesh Kore (Secretary)</t>
  </si>
  <si>
    <t>Dr. Kedar Ganla (Treasurer)</t>
  </si>
  <si>
    <r>
      <t xml:space="preserve">   </t>
    </r>
    <r>
      <rPr>
        <sz val="20"/>
        <rFont val="Cambria"/>
        <family val="1"/>
      </rPr>
      <t xml:space="preserve"> Fixed Assets have been stated at Written down value.</t>
    </r>
  </si>
  <si>
    <t>vi)</t>
  </si>
  <si>
    <t>GENERAL REMARKS</t>
  </si>
  <si>
    <t>vii) Figures in bracket represent negative figures.</t>
  </si>
  <si>
    <t>Refer our audit  report for the observation and  general remarks .</t>
  </si>
  <si>
    <t xml:space="preserve">MOGS - Dr. Sarita Bhalerao  Award in MedicalFund (Corpus) </t>
  </si>
  <si>
    <t xml:space="preserve">MOGS - Dr. Sarita Bhalerao  Award in MedicalFund(Revenue) </t>
  </si>
  <si>
    <t>Mogs Vision For Her Education Recpect</t>
  </si>
  <si>
    <t>Parsonality Of Ther Year Award Dr . Suvarna Khadilkar</t>
  </si>
  <si>
    <t>Mogs Dr. Niranjan N Chavan Vision For Award ( Corpus )</t>
  </si>
  <si>
    <t>Mogs Dr. Niranjan N Chavan Vision For Award ( Revenue )</t>
  </si>
  <si>
    <t>Ajay Mehta ( Fetal Medicine ) Revenue</t>
  </si>
  <si>
    <t>Mogs Dr Nalimita N Chavan ( Revenue)</t>
  </si>
  <si>
    <t>CLINICAL ACTIVITIES CME FUND</t>
  </si>
  <si>
    <t>LIBRARY FUND</t>
  </si>
  <si>
    <t>POST GRADUATE ACTIVITES FUND</t>
  </si>
  <si>
    <t>PUBLICE SERVICE ACTIVITY FUND</t>
  </si>
  <si>
    <t>QUIZ FUND</t>
  </si>
  <si>
    <t>TRAVELING FELLOWSHIP FUND</t>
  </si>
  <si>
    <t>OTHER EARMARED FUND</t>
  </si>
  <si>
    <t>MOGS EARMARK CORPUS FUND UTILZED</t>
  </si>
  <si>
    <t>less</t>
  </si>
  <si>
    <t>WDV as on 01/04/2022</t>
  </si>
  <si>
    <t>Value as on 31/03/2022</t>
  </si>
  <si>
    <t>WDV as on 31/03/2023</t>
  </si>
  <si>
    <t>MOGS - MAHALAXMI PREMISES</t>
  </si>
  <si>
    <t>MOGS - MENSTRUL HYGINE PROJECT FUND</t>
  </si>
  <si>
    <t>MOGS- SURPLUS (DR. ARUN NAYAK 2015 -16 )</t>
  </si>
  <si>
    <t>Mogs Dr. Sarita Bhalerao Award in Medical tea</t>
  </si>
  <si>
    <t>MOGS - Adi &amp; Dr. Nayna Dastur Oration Fund</t>
  </si>
  <si>
    <t xml:space="preserve">MOGS - Vision For Her Heal Education </t>
  </si>
  <si>
    <t>Receivable from Meyar Organies Pvt Ltd</t>
  </si>
  <si>
    <t>Receivable from Sun Pharma Laboratories Ltd</t>
  </si>
  <si>
    <t>14 th SAFOG CONFERENCE</t>
  </si>
  <si>
    <t>Adavance paymnet  For Hotel Pallazzio</t>
  </si>
  <si>
    <t>Sundri crediters</t>
  </si>
  <si>
    <t>MOGS AICOG 2013</t>
  </si>
  <si>
    <t>CONTRIBUTION TO SAFOG PARENT BODY</t>
  </si>
  <si>
    <t>Bank of Baroda 14TH SAFOG HDFC BANK  A/C</t>
  </si>
  <si>
    <t>TDS14TH SAFOG TDS A.Y. 2023 - 2024</t>
  </si>
  <si>
    <t>AUDITED BALANCE SHEET AS AT 31st MARCH, 2024</t>
  </si>
  <si>
    <t xml:space="preserve">Dr. Suvarna Khadilkar </t>
  </si>
  <si>
    <t>Dr. Geetha Bhalsarkar</t>
  </si>
  <si>
    <t>Dr. Sujata Dalvi</t>
  </si>
  <si>
    <t>Public Trust Act, 1950 for the year ended 31 st March 2024</t>
  </si>
  <si>
    <t>Schedules forming part of Balance Sheet as on 31ST March, 2024</t>
  </si>
  <si>
    <t>FIXED ASSETS AS ON 31-3-2024</t>
  </si>
  <si>
    <t>Dated : 24-AUG-2024</t>
  </si>
  <si>
    <t>DATED :  24-AUG-2024</t>
  </si>
  <si>
    <t>Trustees</t>
  </si>
  <si>
    <t>Add: MOGS EARMARK CORPUS FUND UTILZED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</si>
</sst>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 #,##0.00_ ;_ * \-#,##0.00_ ;_ * &quot;-&quot;??_ ;_ @_ "/>
    <numFmt numFmtId="165" formatCode="_(* #,##0.00_);_(* \(#,##0.00\);_(* &quot;-&quot;??_);_(@_)"/>
    <numFmt numFmtId="166" formatCode="_ * #,##0.0_ ;_ * \-#,##0.0_ ;_ * &quot;-&quot;??_ ;_ @_ "/>
  </numFmts>
  <fonts count="45" x14ac:knownFonts="1">
    <font>
      <sz val="10"/>
      <name val="Arial"/>
    </font>
    <font>
      <sz val="10"/>
      <name val="Arial"/>
      <family val="2"/>
    </font>
    <font>
      <sz val="8"/>
      <name val="Arial"/>
      <family val="2"/>
    </font>
    <font>
      <sz val="10"/>
      <name val="Arial"/>
      <family val="2"/>
    </font>
    <font>
      <sz val="11"/>
      <name val="Arial"/>
      <family val="2"/>
    </font>
    <font>
      <b/>
      <sz val="12"/>
      <color indexed="8"/>
      <name val="Cambria"/>
      <family val="1"/>
    </font>
    <font>
      <sz val="12"/>
      <color indexed="8"/>
      <name val="Cambria"/>
      <family val="1"/>
    </font>
    <font>
      <b/>
      <u/>
      <sz val="12"/>
      <color indexed="8"/>
      <name val="Cambria"/>
      <family val="1"/>
    </font>
    <font>
      <sz val="12"/>
      <name val="Cambria"/>
      <family val="1"/>
    </font>
    <font>
      <b/>
      <u/>
      <sz val="12"/>
      <color indexed="8"/>
      <name val="Rupee Foradian"/>
      <family val="2"/>
    </font>
    <font>
      <b/>
      <u/>
      <sz val="12"/>
      <name val="Cambria"/>
      <family val="1"/>
    </font>
    <font>
      <u/>
      <sz val="12"/>
      <color indexed="8"/>
      <name val="Cambria"/>
      <family val="1"/>
    </font>
    <font>
      <u/>
      <sz val="12"/>
      <name val="Cambria"/>
      <family val="1"/>
    </font>
    <font>
      <b/>
      <sz val="12"/>
      <name val="Cambria"/>
      <family val="1"/>
    </font>
    <font>
      <b/>
      <sz val="12"/>
      <name val="Rupee Foradian"/>
      <family val="2"/>
    </font>
    <font>
      <b/>
      <u/>
      <sz val="12"/>
      <color indexed="8"/>
      <name val="Cambria"/>
      <family val="1"/>
    </font>
    <font>
      <b/>
      <sz val="12"/>
      <name val="Cambria"/>
      <family val="1"/>
    </font>
    <font>
      <sz val="10"/>
      <name val="Arial"/>
      <family val="2"/>
    </font>
    <font>
      <sz val="11"/>
      <name val="Cambria"/>
      <family val="1"/>
    </font>
    <font>
      <b/>
      <sz val="11"/>
      <name val="Cambria"/>
      <family val="1"/>
    </font>
    <font>
      <b/>
      <sz val="10"/>
      <name val="Arial"/>
      <family val="2"/>
    </font>
    <font>
      <b/>
      <sz val="11"/>
      <color indexed="8"/>
      <name val="Cambria"/>
      <family val="1"/>
    </font>
    <font>
      <b/>
      <sz val="12"/>
      <name val="Cambria"/>
      <family val="1"/>
      <scheme val="major"/>
    </font>
    <font>
      <sz val="12"/>
      <color rgb="FFFF0000"/>
      <name val="Cambria"/>
      <family val="1"/>
    </font>
    <font>
      <sz val="12"/>
      <color theme="0"/>
      <name val="Cambria"/>
      <family val="1"/>
    </font>
    <font>
      <sz val="12"/>
      <color theme="1"/>
      <name val="Cambria"/>
      <family val="1"/>
    </font>
    <font>
      <sz val="14"/>
      <color theme="1"/>
      <name val="Cambria"/>
      <family val="1"/>
    </font>
    <font>
      <sz val="10"/>
      <name val="Cambria"/>
      <family val="1"/>
      <scheme val="major"/>
    </font>
    <font>
      <b/>
      <sz val="10"/>
      <name val="Cambria"/>
      <family val="1"/>
      <scheme val="major"/>
    </font>
    <font>
      <b/>
      <u/>
      <sz val="14"/>
      <color theme="1"/>
      <name val="Cambria"/>
      <family val="1"/>
    </font>
    <font>
      <b/>
      <sz val="14"/>
      <color theme="1"/>
      <name val="Cambria"/>
      <family val="1"/>
    </font>
    <font>
      <u/>
      <sz val="14"/>
      <color theme="1"/>
      <name val="Cambria"/>
      <family val="1"/>
    </font>
    <font>
      <sz val="18"/>
      <name val="Arial"/>
      <family val="2"/>
    </font>
    <font>
      <b/>
      <sz val="18"/>
      <name val="Arial"/>
      <family val="2"/>
    </font>
    <font>
      <b/>
      <sz val="18"/>
      <name val="Cambria"/>
      <family val="1"/>
    </font>
    <font>
      <b/>
      <sz val="18"/>
      <color indexed="8"/>
      <name val="Cambria"/>
      <family val="1"/>
    </font>
    <font>
      <b/>
      <sz val="18"/>
      <name val="Cambria"/>
      <family val="1"/>
      <scheme val="major"/>
    </font>
    <font>
      <sz val="18"/>
      <color indexed="8"/>
      <name val="Cambria"/>
      <family val="1"/>
    </font>
    <font>
      <b/>
      <sz val="20"/>
      <name val="Cambria"/>
      <family val="1"/>
    </font>
    <font>
      <sz val="20"/>
      <name val="Cambria"/>
      <family val="1"/>
    </font>
    <font>
      <b/>
      <u/>
      <sz val="20"/>
      <name val="Cambria"/>
      <family val="1"/>
    </font>
    <font>
      <u/>
      <sz val="20"/>
      <name val="Cambria"/>
      <family val="1"/>
    </font>
    <font>
      <b/>
      <sz val="12"/>
      <color theme="1"/>
      <name val="Cambria"/>
      <family val="1"/>
    </font>
    <font>
      <b/>
      <u/>
      <sz val="12"/>
      <color theme="1"/>
      <name val="Cambria"/>
      <family val="1"/>
    </font>
    <font>
      <b/>
      <sz val="10"/>
      <color theme="1"/>
      <name val="Cambria"/>
      <family val="1"/>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5" tint="0.59999389629810485"/>
        <bgColor indexed="64"/>
      </patternFill>
    </fill>
  </fills>
  <borders count="36">
    <border>
      <left/>
      <right/>
      <top/>
      <bottom/>
      <diagonal/>
    </border>
    <border>
      <left/>
      <right/>
      <top style="thin">
        <color indexed="64"/>
      </top>
      <bottom style="double">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4">
    <xf numFmtId="0" fontId="0" fillId="0" borderId="0"/>
    <xf numFmtId="165" fontId="1" fillId="0" borderId="0" applyFont="0" applyFill="0" applyBorder="0" applyAlignment="0" applyProtection="0"/>
    <xf numFmtId="165" fontId="17" fillId="0" borderId="0" applyFont="0" applyFill="0" applyBorder="0" applyAlignment="0" applyProtection="0"/>
    <xf numFmtId="165" fontId="3" fillId="0" borderId="0" applyFont="0" applyFill="0" applyBorder="0" applyAlignment="0" applyProtection="0"/>
  </cellStyleXfs>
  <cellXfs count="293">
    <xf numFmtId="0" fontId="0" fillId="0" borderId="0" xfId="0"/>
    <xf numFmtId="0" fontId="6" fillId="0" borderId="0" xfId="0" applyFont="1"/>
    <xf numFmtId="0" fontId="5" fillId="0" borderId="0" xfId="0" applyFont="1"/>
    <xf numFmtId="0" fontId="18" fillId="0" borderId="0" xfId="0" applyFont="1"/>
    <xf numFmtId="0" fontId="18" fillId="0" borderId="0" xfId="0" applyFont="1" applyAlignment="1">
      <alignment horizontal="center"/>
    </xf>
    <xf numFmtId="0" fontId="19" fillId="0" borderId="2" xfId="0" applyFont="1" applyBorder="1"/>
    <xf numFmtId="0" fontId="18" fillId="0" borderId="2" xfId="0" applyFont="1" applyBorder="1"/>
    <xf numFmtId="0" fontId="18" fillId="0" borderId="2" xfId="0" applyFont="1" applyBorder="1" applyAlignment="1">
      <alignment horizontal="center"/>
    </xf>
    <xf numFmtId="0" fontId="19" fillId="0" borderId="0" xfId="0" applyFont="1" applyAlignment="1">
      <alignment horizontal="center"/>
    </xf>
    <xf numFmtId="0" fontId="19" fillId="0" borderId="0" xfId="0" applyFont="1"/>
    <xf numFmtId="0" fontId="19" fillId="0" borderId="2" xfId="0" applyFont="1" applyBorder="1" applyAlignment="1">
      <alignment horizontal="center"/>
    </xf>
    <xf numFmtId="0" fontId="18" fillId="0" borderId="0" xfId="0" applyFont="1" applyAlignment="1">
      <alignment horizontal="left"/>
    </xf>
    <xf numFmtId="0" fontId="19" fillId="0" borderId="0" xfId="0" applyFont="1" applyAlignment="1">
      <alignment horizontal="left"/>
    </xf>
    <xf numFmtId="0" fontId="3" fillId="0" borderId="0" xfId="0" applyFont="1"/>
    <xf numFmtId="0" fontId="20" fillId="0" borderId="0" xfId="0" applyFont="1"/>
    <xf numFmtId="0" fontId="20" fillId="0" borderId="2" xfId="0" applyFont="1" applyBorder="1"/>
    <xf numFmtId="0" fontId="3" fillId="0" borderId="2" xfId="0" applyFont="1" applyBorder="1"/>
    <xf numFmtId="0" fontId="3" fillId="0" borderId="5" xfId="0" applyFont="1" applyBorder="1"/>
    <xf numFmtId="0" fontId="3" fillId="0" borderId="6" xfId="0" applyFont="1" applyBorder="1"/>
    <xf numFmtId="0" fontId="3" fillId="0" borderId="7" xfId="0" applyFont="1" applyBorder="1"/>
    <xf numFmtId="0" fontId="20" fillId="0" borderId="8" xfId="0" applyFont="1" applyBorder="1"/>
    <xf numFmtId="0" fontId="20" fillId="0" borderId="9" xfId="0" applyFont="1" applyBorder="1"/>
    <xf numFmtId="0" fontId="3" fillId="0" borderId="10" xfId="0" applyFont="1" applyBorder="1"/>
    <xf numFmtId="0" fontId="3" fillId="0" borderId="11" xfId="0" applyFont="1" applyBorder="1"/>
    <xf numFmtId="165" fontId="3" fillId="0" borderId="10" xfId="3" applyBorder="1"/>
    <xf numFmtId="165" fontId="3" fillId="0" borderId="12" xfId="3" applyBorder="1"/>
    <xf numFmtId="0" fontId="20" fillId="0" borderId="10" xfId="0" applyFont="1" applyBorder="1" applyAlignment="1">
      <alignment horizontal="center"/>
    </xf>
    <xf numFmtId="0" fontId="3" fillId="0" borderId="10" xfId="0" applyFont="1" applyBorder="1" applyAlignment="1">
      <alignment horizontal="center"/>
    </xf>
    <xf numFmtId="0" fontId="3" fillId="0" borderId="0" xfId="0" applyFont="1" applyAlignment="1">
      <alignment horizontal="center"/>
    </xf>
    <xf numFmtId="165" fontId="3" fillId="0" borderId="13" xfId="3" applyBorder="1"/>
    <xf numFmtId="165" fontId="3" fillId="0" borderId="14" xfId="3" applyBorder="1"/>
    <xf numFmtId="0" fontId="3" fillId="0" borderId="14" xfId="0" applyFont="1" applyBorder="1"/>
    <xf numFmtId="0" fontId="3" fillId="0" borderId="2" xfId="0" applyFont="1" applyBorder="1" applyAlignment="1">
      <alignment horizontal="center"/>
    </xf>
    <xf numFmtId="0" fontId="3" fillId="0" borderId="15" xfId="0" applyFont="1" applyBorder="1"/>
    <xf numFmtId="165" fontId="3" fillId="0" borderId="9" xfId="3" applyBorder="1"/>
    <xf numFmtId="165" fontId="20" fillId="0" borderId="16" xfId="3" applyFont="1" applyBorder="1"/>
    <xf numFmtId="0" fontId="20" fillId="0" borderId="0" xfId="0" applyFont="1" applyAlignment="1">
      <alignment horizontal="center"/>
    </xf>
    <xf numFmtId="0" fontId="21" fillId="0" borderId="0" xfId="0" applyFont="1" applyAlignment="1">
      <alignment horizontal="center"/>
    </xf>
    <xf numFmtId="0" fontId="22" fillId="0" borderId="0" xfId="0" applyFont="1"/>
    <xf numFmtId="0" fontId="22" fillId="0" borderId="0" xfId="0" applyFont="1" applyAlignment="1">
      <alignment horizontal="left"/>
    </xf>
    <xf numFmtId="0" fontId="5" fillId="0" borderId="0" xfId="0" applyFont="1" applyAlignment="1">
      <alignment horizontal="left"/>
    </xf>
    <xf numFmtId="165" fontId="8" fillId="0" borderId="12" xfId="1" applyFont="1" applyFill="1" applyBorder="1"/>
    <xf numFmtId="165" fontId="13" fillId="0" borderId="9" xfId="1" applyFont="1" applyFill="1" applyBorder="1"/>
    <xf numFmtId="165" fontId="8" fillId="0" borderId="0" xfId="0" applyNumberFormat="1" applyFont="1"/>
    <xf numFmtId="165" fontId="5" fillId="0" borderId="0" xfId="1" applyFont="1" applyFill="1"/>
    <xf numFmtId="0" fontId="8" fillId="0" borderId="0" xfId="0" applyFont="1"/>
    <xf numFmtId="165" fontId="8" fillId="0" borderId="17" xfId="1" applyFont="1" applyFill="1" applyBorder="1"/>
    <xf numFmtId="0" fontId="7" fillId="0" borderId="0" xfId="0" applyFont="1"/>
    <xf numFmtId="0" fontId="6" fillId="0" borderId="0" xfId="0" applyFont="1" applyAlignment="1">
      <alignment horizontal="left"/>
    </xf>
    <xf numFmtId="165" fontId="13" fillId="0" borderId="0" xfId="1" applyFont="1" applyFill="1" applyAlignment="1">
      <alignment horizontal="right"/>
    </xf>
    <xf numFmtId="165" fontId="8" fillId="0" borderId="0" xfId="1" applyFont="1" applyFill="1"/>
    <xf numFmtId="165" fontId="6" fillId="0" borderId="0" xfId="1" applyFont="1" applyFill="1"/>
    <xf numFmtId="165" fontId="6" fillId="0" borderId="3" xfId="1" applyFont="1" applyFill="1" applyBorder="1"/>
    <xf numFmtId="165" fontId="5" fillId="0" borderId="18" xfId="1" applyFont="1" applyFill="1" applyBorder="1"/>
    <xf numFmtId="165" fontId="9" fillId="0" borderId="0" xfId="1" applyFont="1" applyFill="1" applyAlignment="1">
      <alignment horizontal="center"/>
    </xf>
    <xf numFmtId="165" fontId="13" fillId="0" borderId="9" xfId="1" applyFont="1" applyFill="1" applyBorder="1" applyAlignment="1">
      <alignment horizontal="center"/>
    </xf>
    <xf numFmtId="0" fontId="13" fillId="0" borderId="0" xfId="0" applyFont="1"/>
    <xf numFmtId="0" fontId="11" fillId="0" borderId="0" xfId="0" applyFont="1"/>
    <xf numFmtId="165" fontId="8" fillId="0" borderId="11" xfId="1" applyFont="1" applyFill="1" applyBorder="1"/>
    <xf numFmtId="165" fontId="8" fillId="0" borderId="20" xfId="1" applyFont="1" applyFill="1" applyBorder="1"/>
    <xf numFmtId="165" fontId="8" fillId="0" borderId="13" xfId="1" applyFont="1" applyFill="1" applyBorder="1"/>
    <xf numFmtId="165" fontId="7" fillId="0" borderId="0" xfId="0" applyNumberFormat="1" applyFont="1" applyAlignment="1">
      <alignment horizontal="center"/>
    </xf>
    <xf numFmtId="165" fontId="15" fillId="0" borderId="0" xfId="1" applyFont="1" applyFill="1" applyAlignment="1">
      <alignment horizontal="center"/>
    </xf>
    <xf numFmtId="0" fontId="10" fillId="0" borderId="0" xfId="0" applyFont="1"/>
    <xf numFmtId="164" fontId="8" fillId="0" borderId="0" xfId="0" applyNumberFormat="1" applyFont="1"/>
    <xf numFmtId="165" fontId="8" fillId="0" borderId="3" xfId="1" applyFont="1" applyFill="1" applyBorder="1"/>
    <xf numFmtId="165" fontId="8" fillId="0" borderId="22" xfId="1" applyFont="1" applyFill="1" applyBorder="1"/>
    <xf numFmtId="0" fontId="12" fillId="0" borderId="0" xfId="0" applyFont="1"/>
    <xf numFmtId="0" fontId="6" fillId="0" borderId="0" xfId="0" applyFont="1" applyAlignment="1">
      <alignment horizontal="left" indent="2"/>
    </xf>
    <xf numFmtId="0" fontId="8" fillId="0" borderId="0" xfId="0" applyFont="1" applyAlignment="1">
      <alignment wrapText="1"/>
    </xf>
    <xf numFmtId="165" fontId="8" fillId="0" borderId="3" xfId="0" applyNumberFormat="1" applyFont="1" applyBorder="1"/>
    <xf numFmtId="165" fontId="8" fillId="0" borderId="0" xfId="1" applyFont="1" applyFill="1" applyAlignment="1">
      <alignment horizontal="center"/>
    </xf>
    <xf numFmtId="165" fontId="8" fillId="0" borderId="0" xfId="1" applyFont="1" applyFill="1" applyBorder="1"/>
    <xf numFmtId="165" fontId="6" fillId="0" borderId="0" xfId="1" applyFont="1" applyFill="1" applyAlignment="1">
      <alignment horizontal="center"/>
    </xf>
    <xf numFmtId="165" fontId="6" fillId="0" borderId="2" xfId="1" applyFont="1" applyFill="1" applyBorder="1"/>
    <xf numFmtId="165" fontId="8" fillId="0" borderId="24" xfId="1" applyFont="1" applyFill="1" applyBorder="1" applyAlignment="1">
      <alignment horizontal="center" wrapText="1"/>
    </xf>
    <xf numFmtId="165" fontId="8" fillId="0" borderId="25" xfId="1" applyFont="1" applyFill="1" applyBorder="1" applyAlignment="1">
      <alignment wrapText="1"/>
    </xf>
    <xf numFmtId="165" fontId="8" fillId="0" borderId="24" xfId="1" applyFont="1" applyFill="1" applyBorder="1" applyAlignment="1">
      <alignment wrapText="1"/>
    </xf>
    <xf numFmtId="165" fontId="8" fillId="0" borderId="23" xfId="1" applyFont="1" applyFill="1" applyBorder="1" applyAlignment="1">
      <alignment wrapText="1"/>
    </xf>
    <xf numFmtId="165" fontId="8" fillId="0" borderId="26" xfId="1" applyFont="1" applyFill="1" applyBorder="1" applyAlignment="1">
      <alignment wrapText="1"/>
    </xf>
    <xf numFmtId="165" fontId="8" fillId="0" borderId="24" xfId="1" applyFont="1" applyFill="1" applyBorder="1"/>
    <xf numFmtId="165" fontId="8" fillId="0" borderId="25" xfId="1" applyFont="1" applyFill="1" applyBorder="1"/>
    <xf numFmtId="165" fontId="8" fillId="0" borderId="23" xfId="1" applyFont="1" applyFill="1" applyBorder="1"/>
    <xf numFmtId="165" fontId="8" fillId="0" borderId="23" xfId="1" applyFont="1" applyFill="1" applyBorder="1" applyAlignment="1">
      <alignment horizontal="center"/>
    </xf>
    <xf numFmtId="165" fontId="8" fillId="0" borderId="25" xfId="1" applyFont="1" applyFill="1" applyBorder="1" applyAlignment="1">
      <alignment horizontal="center"/>
    </xf>
    <xf numFmtId="165" fontId="8" fillId="0" borderId="24" xfId="1" applyFont="1" applyFill="1" applyBorder="1" applyAlignment="1">
      <alignment horizontal="center"/>
    </xf>
    <xf numFmtId="165" fontId="8" fillId="0" borderId="27" xfId="1" applyFont="1" applyFill="1" applyBorder="1"/>
    <xf numFmtId="165" fontId="13" fillId="0" borderId="28" xfId="1" applyFont="1" applyFill="1" applyBorder="1"/>
    <xf numFmtId="165" fontId="13" fillId="0" borderId="29" xfId="1" applyFont="1" applyFill="1" applyBorder="1"/>
    <xf numFmtId="165" fontId="13" fillId="0" borderId="30" xfId="1" applyFont="1" applyFill="1" applyBorder="1"/>
    <xf numFmtId="165" fontId="8" fillId="0" borderId="32" xfId="1" applyFont="1" applyFill="1" applyBorder="1"/>
    <xf numFmtId="165" fontId="8" fillId="0" borderId="31" xfId="1" applyFont="1" applyFill="1" applyBorder="1"/>
    <xf numFmtId="164" fontId="3" fillId="0" borderId="0" xfId="0" applyNumberFormat="1" applyFont="1"/>
    <xf numFmtId="165" fontId="6" fillId="0" borderId="0" xfId="1" applyFont="1" applyFill="1" applyBorder="1"/>
    <xf numFmtId="0" fontId="10" fillId="0" borderId="0" xfId="0" applyFont="1" applyAlignment="1">
      <alignment horizontal="left"/>
    </xf>
    <xf numFmtId="165" fontId="8" fillId="0" borderId="0" xfId="2" applyFont="1" applyFill="1"/>
    <xf numFmtId="165" fontId="13" fillId="0" borderId="0" xfId="2" applyFont="1" applyFill="1" applyAlignment="1">
      <alignment horizontal="center"/>
    </xf>
    <xf numFmtId="165" fontId="13" fillId="0" borderId="0" xfId="2" applyFont="1" applyFill="1"/>
    <xf numFmtId="10" fontId="8" fillId="0" borderId="0" xfId="2" applyNumberFormat="1" applyFont="1" applyFill="1"/>
    <xf numFmtId="0" fontId="8" fillId="0" borderId="0" xfId="0" applyFont="1" applyAlignment="1">
      <alignment horizontal="right"/>
    </xf>
    <xf numFmtId="166" fontId="8" fillId="0" borderId="0" xfId="0" applyNumberFormat="1" applyFont="1"/>
    <xf numFmtId="165" fontId="13" fillId="0" borderId="1" xfId="2" applyFont="1" applyFill="1" applyBorder="1"/>
    <xf numFmtId="165" fontId="10" fillId="0" borderId="0" xfId="1" applyFont="1" applyFill="1" applyAlignment="1">
      <alignment horizontal="center"/>
    </xf>
    <xf numFmtId="165" fontId="13" fillId="0" borderId="0" xfId="1" applyFont="1" applyFill="1"/>
    <xf numFmtId="0" fontId="8" fillId="0" borderId="35" xfId="0" applyFont="1" applyBorder="1"/>
    <xf numFmtId="165" fontId="23" fillId="0" borderId="0" xfId="1" applyFont="1" applyFill="1"/>
    <xf numFmtId="165" fontId="13" fillId="0" borderId="21" xfId="1" applyFont="1" applyFill="1" applyBorder="1"/>
    <xf numFmtId="165" fontId="8" fillId="2" borderId="0" xfId="1" applyFont="1" applyFill="1"/>
    <xf numFmtId="0" fontId="1" fillId="0" borderId="0" xfId="0" applyFont="1"/>
    <xf numFmtId="165" fontId="8" fillId="3" borderId="0" xfId="1" applyFont="1" applyFill="1"/>
    <xf numFmtId="165" fontId="13" fillId="2" borderId="18" xfId="1" applyFont="1" applyFill="1" applyBorder="1"/>
    <xf numFmtId="165" fontId="8" fillId="4" borderId="0" xfId="1" applyFont="1" applyFill="1"/>
    <xf numFmtId="165" fontId="1" fillId="0" borderId="12" xfId="3" applyFont="1" applyBorder="1"/>
    <xf numFmtId="165" fontId="24" fillId="0" borderId="0" xfId="1" applyFont="1" applyFill="1"/>
    <xf numFmtId="14" fontId="19" fillId="0" borderId="3" xfId="0" applyNumberFormat="1" applyFont="1" applyBorder="1"/>
    <xf numFmtId="14" fontId="20" fillId="0" borderId="0" xfId="0" applyNumberFormat="1" applyFont="1" applyAlignment="1">
      <alignment horizontal="left"/>
    </xf>
    <xf numFmtId="0" fontId="19" fillId="0" borderId="4" xfId="0" applyFont="1" applyBorder="1" applyAlignment="1">
      <alignment horizontal="left"/>
    </xf>
    <xf numFmtId="165" fontId="13" fillId="0" borderId="0" xfId="1" applyFont="1" applyFill="1" applyBorder="1"/>
    <xf numFmtId="165" fontId="26" fillId="0" borderId="0" xfId="1" applyFont="1" applyFill="1"/>
    <xf numFmtId="0" fontId="27" fillId="0" borderId="0" xfId="0" applyFont="1"/>
    <xf numFmtId="165" fontId="27" fillId="0" borderId="0" xfId="1" applyFont="1"/>
    <xf numFmtId="0" fontId="28" fillId="0" borderId="0" xfId="0" applyFont="1"/>
    <xf numFmtId="165" fontId="28" fillId="0" borderId="0" xfId="1" applyFont="1"/>
    <xf numFmtId="165" fontId="29" fillId="0" borderId="0" xfId="1" applyFont="1" applyFill="1" applyAlignment="1">
      <alignment horizontal="center"/>
    </xf>
    <xf numFmtId="165" fontId="30" fillId="0" borderId="0" xfId="1" applyFont="1" applyFill="1"/>
    <xf numFmtId="165" fontId="26" fillId="0" borderId="3" xfId="1" applyFont="1" applyFill="1" applyBorder="1"/>
    <xf numFmtId="165" fontId="26" fillId="0" borderId="35" xfId="1" applyFont="1" applyFill="1" applyBorder="1"/>
    <xf numFmtId="165" fontId="26" fillId="0" borderId="22" xfId="1" applyFont="1" applyFill="1" applyBorder="1"/>
    <xf numFmtId="165" fontId="26" fillId="0" borderId="0" xfId="1" applyFont="1" applyFill="1" applyBorder="1"/>
    <xf numFmtId="165" fontId="26" fillId="0" borderId="0" xfId="1" applyFont="1" applyFill="1" applyAlignment="1">
      <alignment horizontal="center"/>
    </xf>
    <xf numFmtId="165" fontId="30" fillId="0" borderId="18" xfId="1" applyFont="1" applyFill="1" applyBorder="1"/>
    <xf numFmtId="165" fontId="13" fillId="0" borderId="12" xfId="1" applyFont="1" applyFill="1" applyBorder="1"/>
    <xf numFmtId="0" fontId="26" fillId="0" borderId="0" xfId="0" applyFont="1"/>
    <xf numFmtId="165" fontId="29" fillId="0" borderId="0" xfId="0" applyNumberFormat="1" applyFont="1" applyAlignment="1">
      <alignment horizontal="center"/>
    </xf>
    <xf numFmtId="0" fontId="29" fillId="0" borderId="0" xfId="0" applyFont="1"/>
    <xf numFmtId="0" fontId="30" fillId="0" borderId="0" xfId="0" applyFont="1"/>
    <xf numFmtId="164" fontId="26" fillId="0" borderId="0" xfId="0" applyNumberFormat="1" applyFont="1"/>
    <xf numFmtId="0" fontId="31" fillId="0" borderId="0" xfId="0" applyFont="1"/>
    <xf numFmtId="165" fontId="26" fillId="0" borderId="0" xfId="0" applyNumberFormat="1" applyFont="1"/>
    <xf numFmtId="0" fontId="26" fillId="0" borderId="0" xfId="0" applyFont="1" applyAlignment="1">
      <alignment horizontal="left"/>
    </xf>
    <xf numFmtId="0" fontId="26" fillId="0" borderId="0" xfId="0" applyFont="1" applyAlignment="1">
      <alignment horizontal="left" indent="2"/>
    </xf>
    <xf numFmtId="0" fontId="26" fillId="0" borderId="0" xfId="0" applyFont="1" applyAlignment="1">
      <alignment wrapText="1"/>
    </xf>
    <xf numFmtId="165" fontId="26" fillId="0" borderId="3" xfId="0" applyNumberFormat="1" applyFont="1" applyBorder="1"/>
    <xf numFmtId="0" fontId="26" fillId="0" borderId="3" xfId="0" applyFont="1" applyBorder="1"/>
    <xf numFmtId="0" fontId="32" fillId="0" borderId="0" xfId="0" applyFont="1"/>
    <xf numFmtId="0" fontId="33" fillId="0" borderId="0" xfId="0" applyFont="1"/>
    <xf numFmtId="0" fontId="33" fillId="0" borderId="2" xfId="0" applyFont="1" applyBorder="1"/>
    <xf numFmtId="0" fontId="34" fillId="0" borderId="2" xfId="0" applyFont="1" applyBorder="1"/>
    <xf numFmtId="0" fontId="32" fillId="0" borderId="2" xfId="0" applyFont="1" applyBorder="1"/>
    <xf numFmtId="0" fontId="32" fillId="0" borderId="5" xfId="0" applyFont="1" applyBorder="1"/>
    <xf numFmtId="0" fontId="32" fillId="0" borderId="6" xfId="0" applyFont="1" applyBorder="1"/>
    <xf numFmtId="0" fontId="32" fillId="0" borderId="7" xfId="0" applyFont="1" applyBorder="1"/>
    <xf numFmtId="0" fontId="33" fillId="0" borderId="8" xfId="0" applyFont="1" applyBorder="1"/>
    <xf numFmtId="0" fontId="33" fillId="0" borderId="9" xfId="0" applyFont="1" applyBorder="1"/>
    <xf numFmtId="0" fontId="32" fillId="0" borderId="10" xfId="0" applyFont="1" applyBorder="1"/>
    <xf numFmtId="0" fontId="32" fillId="0" borderId="11" xfId="0" applyFont="1" applyBorder="1"/>
    <xf numFmtId="165" fontId="32" fillId="0" borderId="10" xfId="3" applyFont="1" applyBorder="1"/>
    <xf numFmtId="165" fontId="32" fillId="0" borderId="12" xfId="3" applyFont="1" applyBorder="1"/>
    <xf numFmtId="0" fontId="33" fillId="0" borderId="10" xfId="0" applyFont="1" applyBorder="1" applyAlignment="1">
      <alignment horizontal="center"/>
    </xf>
    <xf numFmtId="0" fontId="32" fillId="0" borderId="10" xfId="0" applyFont="1" applyBorder="1" applyAlignment="1">
      <alignment horizontal="center"/>
    </xf>
    <xf numFmtId="0" fontId="32" fillId="0" borderId="0" xfId="0" applyFont="1" applyAlignment="1">
      <alignment horizontal="center"/>
    </xf>
    <xf numFmtId="165" fontId="32" fillId="0" borderId="13" xfId="3" applyFont="1" applyBorder="1"/>
    <xf numFmtId="164" fontId="32" fillId="0" borderId="0" xfId="0" applyNumberFormat="1" applyFont="1"/>
    <xf numFmtId="165" fontId="32" fillId="0" borderId="14" xfId="3" applyFont="1" applyBorder="1"/>
    <xf numFmtId="0" fontId="32" fillId="0" borderId="14" xfId="0" applyFont="1" applyBorder="1"/>
    <xf numFmtId="0" fontId="32" fillId="0" borderId="2" xfId="0" applyFont="1" applyBorder="1" applyAlignment="1">
      <alignment horizontal="center"/>
    </xf>
    <xf numFmtId="0" fontId="32" fillId="0" borderId="15" xfId="0" applyFont="1" applyBorder="1"/>
    <xf numFmtId="165" fontId="32" fillId="0" borderId="9" xfId="3" applyFont="1" applyBorder="1"/>
    <xf numFmtId="165" fontId="33" fillId="0" borderId="16" xfId="3" applyFont="1" applyBorder="1"/>
    <xf numFmtId="0" fontId="35" fillId="0" borderId="0" xfId="0" applyFont="1"/>
    <xf numFmtId="0" fontId="35" fillId="0" borderId="0" xfId="0" applyFont="1" applyAlignment="1">
      <alignment horizontal="center"/>
    </xf>
    <xf numFmtId="0" fontId="36" fillId="0" borderId="0" xfId="0" applyFont="1"/>
    <xf numFmtId="0" fontId="37" fillId="0" borderId="0" xfId="0" applyFont="1"/>
    <xf numFmtId="0" fontId="35" fillId="0" borderId="0" xfId="0" applyFont="1" applyAlignment="1">
      <alignment horizontal="left"/>
    </xf>
    <xf numFmtId="0" fontId="36" fillId="0" borderId="0" xfId="0" applyFont="1" applyAlignment="1">
      <alignment horizontal="left"/>
    </xf>
    <xf numFmtId="14" fontId="33" fillId="0" borderId="0" xfId="0" applyNumberFormat="1" applyFont="1" applyAlignment="1">
      <alignment horizontal="left"/>
    </xf>
    <xf numFmtId="0" fontId="33" fillId="0" borderId="0" xfId="0" applyFont="1" applyAlignment="1">
      <alignment horizontal="center"/>
    </xf>
    <xf numFmtId="165" fontId="32" fillId="0" borderId="0" xfId="0" applyNumberFormat="1" applyFont="1"/>
    <xf numFmtId="0" fontId="38" fillId="0" borderId="0" xfId="0" applyFont="1"/>
    <xf numFmtId="0" fontId="39" fillId="0" borderId="0" xfId="0" applyFont="1"/>
    <xf numFmtId="0" fontId="40" fillId="0" borderId="0" xfId="0" applyFont="1" applyAlignment="1">
      <alignment horizontal="left"/>
    </xf>
    <xf numFmtId="0" fontId="40" fillId="0" borderId="0" xfId="0" applyFont="1"/>
    <xf numFmtId="0" fontId="41" fillId="0" borderId="0" xfId="0" applyFont="1"/>
    <xf numFmtId="165" fontId="26" fillId="0" borderId="0" xfId="1" applyFont="1" applyFill="1" applyBorder="1" applyAlignment="1">
      <alignment horizontal="center"/>
    </xf>
    <xf numFmtId="165" fontId="25" fillId="0" borderId="0" xfId="1" applyFont="1" applyFill="1"/>
    <xf numFmtId="165" fontId="6" fillId="0" borderId="0" xfId="1" applyFont="1" applyFill="1" applyAlignment="1">
      <alignment horizontal="right"/>
    </xf>
    <xf numFmtId="0" fontId="6" fillId="0" borderId="0" xfId="0" applyFont="1" applyAlignment="1">
      <alignment horizontal="center"/>
    </xf>
    <xf numFmtId="43" fontId="26" fillId="0" borderId="0" xfId="0" applyNumberFormat="1" applyFont="1"/>
    <xf numFmtId="0" fontId="25" fillId="0" borderId="0" xfId="0" applyFont="1"/>
    <xf numFmtId="43" fontId="8" fillId="0" borderId="0" xfId="0" applyNumberFormat="1" applyFont="1"/>
    <xf numFmtId="0" fontId="42" fillId="0" borderId="0" xfId="0" applyFont="1"/>
    <xf numFmtId="0" fontId="43" fillId="0" borderId="0" xfId="0" applyFont="1"/>
    <xf numFmtId="165" fontId="43" fillId="0" borderId="0" xfId="1" applyFont="1" applyFill="1" applyAlignment="1">
      <alignment horizontal="center"/>
    </xf>
    <xf numFmtId="165" fontId="25" fillId="0" borderId="3" xfId="1" applyFont="1" applyFill="1" applyBorder="1"/>
    <xf numFmtId="164" fontId="25" fillId="0" borderId="0" xfId="0" applyNumberFormat="1" applyFont="1"/>
    <xf numFmtId="165" fontId="25" fillId="0" borderId="0" xfId="1" applyFont="1" applyFill="1" applyBorder="1"/>
    <xf numFmtId="0" fontId="25" fillId="0" borderId="2" xfId="0" applyFont="1" applyBorder="1"/>
    <xf numFmtId="165" fontId="25" fillId="0" borderId="2" xfId="1" applyFont="1" applyFill="1" applyBorder="1"/>
    <xf numFmtId="165" fontId="42" fillId="0" borderId="18" xfId="1" applyFont="1" applyFill="1" applyBorder="1"/>
    <xf numFmtId="0" fontId="44" fillId="0" borderId="0" xfId="0" applyFont="1"/>
    <xf numFmtId="165" fontId="25" fillId="0" borderId="22" xfId="1" applyFont="1" applyFill="1" applyBorder="1"/>
    <xf numFmtId="0" fontId="25" fillId="0" borderId="18" xfId="0" applyFont="1" applyBorder="1"/>
    <xf numFmtId="165" fontId="25" fillId="0" borderId="18" xfId="1" applyFont="1" applyFill="1" applyBorder="1"/>
    <xf numFmtId="0" fontId="8" fillId="0" borderId="23" xfId="0" applyFont="1" applyBorder="1" applyAlignment="1">
      <alignment wrapText="1"/>
    </xf>
    <xf numFmtId="0" fontId="8" fillId="0" borderId="24" xfId="0" applyFont="1" applyBorder="1" applyAlignment="1">
      <alignment wrapText="1"/>
    </xf>
    <xf numFmtId="0" fontId="8" fillId="0" borderId="23" xfId="0" applyFont="1" applyBorder="1"/>
    <xf numFmtId="0" fontId="8" fillId="0" borderId="24" xfId="0" applyFont="1" applyBorder="1"/>
    <xf numFmtId="9" fontId="8" fillId="0" borderId="24" xfId="0" applyNumberFormat="1" applyFont="1" applyBorder="1"/>
    <xf numFmtId="0" fontId="8" fillId="0" borderId="25" xfId="0" applyFont="1" applyBorder="1"/>
    <xf numFmtId="0" fontId="13" fillId="0" borderId="24" xfId="0" applyFont="1" applyBorder="1"/>
    <xf numFmtId="0" fontId="8" fillId="0" borderId="31" xfId="0" applyFont="1" applyBorder="1"/>
    <xf numFmtId="0" fontId="8" fillId="0" borderId="27" xfId="0" applyFont="1" applyBorder="1"/>
    <xf numFmtId="0" fontId="5" fillId="0" borderId="0" xfId="0" applyFont="1" applyAlignment="1">
      <alignment horizontal="center"/>
    </xf>
    <xf numFmtId="0" fontId="13" fillId="0" borderId="0" xfId="0" applyFont="1" applyAlignment="1">
      <alignment horizontal="center"/>
    </xf>
    <xf numFmtId="0" fontId="8" fillId="0" borderId="2" xfId="0" applyFont="1" applyBorder="1"/>
    <xf numFmtId="0" fontId="13" fillId="0" borderId="8" xfId="0" applyFont="1" applyBorder="1"/>
    <xf numFmtId="0" fontId="13" fillId="0" borderId="18" xfId="0" applyFont="1" applyBorder="1"/>
    <xf numFmtId="0" fontId="13" fillId="0" borderId="19" xfId="0" applyFont="1" applyBorder="1"/>
    <xf numFmtId="0" fontId="16" fillId="0" borderId="9" xfId="0" applyFont="1" applyBorder="1" applyAlignment="1">
      <alignment horizontal="center"/>
    </xf>
    <xf numFmtId="0" fontId="13" fillId="0" borderId="8" xfId="0" applyFont="1" applyBorder="1" applyAlignment="1">
      <alignment horizontal="center"/>
    </xf>
    <xf numFmtId="0" fontId="8" fillId="0" borderId="8" xfId="0" applyFont="1" applyBorder="1"/>
    <xf numFmtId="0" fontId="13" fillId="0" borderId="6" xfId="0" applyFont="1" applyBorder="1"/>
    <xf numFmtId="0" fontId="8" fillId="0" borderId="5" xfId="0" applyFont="1" applyBorder="1"/>
    <xf numFmtId="0" fontId="8" fillId="0" borderId="6" xfId="0" applyFont="1" applyBorder="1"/>
    <xf numFmtId="0" fontId="8" fillId="0" borderId="7" xfId="0" applyFont="1" applyBorder="1"/>
    <xf numFmtId="0" fontId="8" fillId="0" borderId="17" xfId="0" applyFont="1" applyBorder="1"/>
    <xf numFmtId="0" fontId="8" fillId="0" borderId="10" xfId="0" applyFont="1" applyBorder="1"/>
    <xf numFmtId="0" fontId="13" fillId="0" borderId="10" xfId="0" applyFont="1" applyBorder="1"/>
    <xf numFmtId="0" fontId="8" fillId="0" borderId="11" xfId="0" applyFont="1" applyBorder="1"/>
    <xf numFmtId="0" fontId="6" fillId="0" borderId="10" xfId="0" applyFont="1" applyBorder="1"/>
    <xf numFmtId="0" fontId="8" fillId="0" borderId="12" xfId="0" applyFont="1" applyBorder="1"/>
    <xf numFmtId="0" fontId="8" fillId="0" borderId="10" xfId="0" applyFont="1" applyBorder="1" applyAlignment="1">
      <alignment horizontal="left" indent="1"/>
    </xf>
    <xf numFmtId="165" fontId="8" fillId="0" borderId="12" xfId="0" applyNumberFormat="1" applyFont="1" applyBorder="1"/>
    <xf numFmtId="0" fontId="8" fillId="0" borderId="13" xfId="0" applyFont="1" applyBorder="1"/>
    <xf numFmtId="0" fontId="8" fillId="0" borderId="14" xfId="0" applyFont="1" applyBorder="1"/>
    <xf numFmtId="0" fontId="13" fillId="0" borderId="15" xfId="0" applyFont="1" applyBorder="1"/>
    <xf numFmtId="43" fontId="6" fillId="0" borderId="0" xfId="0" applyNumberFormat="1" applyFont="1"/>
    <xf numFmtId="14" fontId="5" fillId="0" borderId="0" xfId="0" applyNumberFormat="1" applyFont="1"/>
    <xf numFmtId="14" fontId="13" fillId="0" borderId="0" xfId="0" applyNumberFormat="1" applyFont="1" applyAlignment="1">
      <alignment horizontal="left"/>
    </xf>
    <xf numFmtId="0" fontId="5" fillId="0" borderId="0" xfId="0" applyFont="1" applyAlignment="1">
      <alignment wrapText="1"/>
    </xf>
    <xf numFmtId="0" fontId="21" fillId="0" borderId="0" xfId="0" applyFont="1"/>
    <xf numFmtId="0" fontId="6" fillId="0" borderId="0" xfId="0" applyFont="1" applyAlignment="1">
      <alignment horizontal="left" indent="1"/>
    </xf>
    <xf numFmtId="0" fontId="6" fillId="0" borderId="2" xfId="0" applyFont="1" applyBorder="1"/>
    <xf numFmtId="0" fontId="6" fillId="0" borderId="2" xfId="0" applyFont="1" applyBorder="1" applyAlignment="1">
      <alignment horizontal="left" indent="1"/>
    </xf>
    <xf numFmtId="0" fontId="5" fillId="0" borderId="0" xfId="0" applyFont="1" applyAlignment="1">
      <alignment horizontal="right"/>
    </xf>
    <xf numFmtId="14" fontId="8" fillId="0" borderId="0" xfId="0" applyNumberFormat="1" applyFont="1"/>
    <xf numFmtId="0" fontId="24" fillId="0" borderId="0" xfId="0" applyFont="1"/>
    <xf numFmtId="165" fontId="24" fillId="0" borderId="0" xfId="0" applyNumberFormat="1" applyFont="1"/>
    <xf numFmtId="0" fontId="5" fillId="0" borderId="0" xfId="0" applyFont="1" applyAlignment="1">
      <alignment horizontal="center"/>
    </xf>
    <xf numFmtId="0" fontId="18" fillId="0" borderId="0" xfId="0" applyFont="1" applyAlignment="1">
      <alignment horizontal="justify"/>
    </xf>
    <xf numFmtId="0" fontId="19" fillId="0" borderId="0" xfId="0" applyFont="1" applyAlignment="1">
      <alignment horizontal="left"/>
    </xf>
    <xf numFmtId="0" fontId="18" fillId="0" borderId="0" xfId="0" applyFont="1" applyAlignment="1">
      <alignment wrapText="1"/>
    </xf>
    <xf numFmtId="0" fontId="20" fillId="0" borderId="0" xfId="0" applyFont="1" applyAlignment="1">
      <alignment horizontal="center"/>
    </xf>
    <xf numFmtId="0" fontId="3" fillId="0" borderId="0" xfId="0" applyFont="1" applyAlignment="1">
      <alignment horizontal="justify"/>
    </xf>
    <xf numFmtId="0" fontId="3" fillId="0" borderId="11" xfId="0" applyFont="1" applyBorder="1" applyAlignment="1">
      <alignment horizontal="justify"/>
    </xf>
    <xf numFmtId="0" fontId="21" fillId="0" borderId="0" xfId="0" applyFont="1" applyAlignment="1">
      <alignment horizontal="center"/>
    </xf>
    <xf numFmtId="0" fontId="20" fillId="0" borderId="0" xfId="0" applyFont="1" applyAlignment="1">
      <alignment horizontal="justify"/>
    </xf>
    <xf numFmtId="0" fontId="6" fillId="0" borderId="0" xfId="0" applyFont="1" applyAlignment="1">
      <alignment horizontal="left" wrapText="1"/>
    </xf>
    <xf numFmtId="0" fontId="32" fillId="0" borderId="0" xfId="0" applyFont="1" applyAlignment="1">
      <alignment horizontal="justify"/>
    </xf>
    <xf numFmtId="0" fontId="32" fillId="0" borderId="11" xfId="0" applyFont="1" applyBorder="1" applyAlignment="1">
      <alignment horizontal="justify"/>
    </xf>
    <xf numFmtId="0" fontId="33" fillId="0" borderId="0" xfId="0" applyFont="1" applyAlignment="1">
      <alignment horizontal="justify"/>
    </xf>
    <xf numFmtId="0" fontId="35" fillId="0" borderId="0" xfId="0" applyFont="1" applyAlignment="1">
      <alignment horizontal="center"/>
    </xf>
    <xf numFmtId="0" fontId="33" fillId="0" borderId="0" xfId="0" applyFont="1" applyAlignment="1">
      <alignment horizontal="center"/>
    </xf>
    <xf numFmtId="0" fontId="6" fillId="0" borderId="0" xfId="0" applyFont="1" applyAlignment="1">
      <alignment horizontal="center"/>
    </xf>
    <xf numFmtId="0" fontId="13" fillId="0" borderId="2" xfId="0" applyFont="1" applyBorder="1" applyAlignment="1">
      <alignment horizontal="center"/>
    </xf>
    <xf numFmtId="0" fontId="13" fillId="0" borderId="15" xfId="0" applyFont="1" applyBorder="1" applyAlignment="1">
      <alignment horizontal="center"/>
    </xf>
    <xf numFmtId="43" fontId="5" fillId="0" borderId="0" xfId="0" applyNumberFormat="1" applyFont="1" applyAlignment="1">
      <alignment horizontal="center"/>
    </xf>
    <xf numFmtId="0" fontId="26" fillId="0" borderId="0" xfId="0" applyFont="1" applyAlignment="1">
      <alignment horizontal="left" wrapText="1"/>
    </xf>
    <xf numFmtId="165" fontId="5" fillId="0" borderId="18" xfId="1" applyFont="1" applyFill="1" applyBorder="1" applyAlignment="1">
      <alignment horizontal="center"/>
    </xf>
    <xf numFmtId="0" fontId="42" fillId="0" borderId="18" xfId="0" applyFont="1" applyBorder="1" applyAlignment="1">
      <alignment horizontal="center"/>
    </xf>
    <xf numFmtId="0" fontId="8" fillId="0" borderId="0" xfId="0" applyFont="1" applyAlignment="1">
      <alignment horizontal="center"/>
    </xf>
    <xf numFmtId="0" fontId="13" fillId="0" borderId="26" xfId="0" applyFont="1" applyBorder="1" applyAlignment="1">
      <alignment horizontal="left" vertical="top" wrapText="1"/>
    </xf>
    <xf numFmtId="0" fontId="13" fillId="0" borderId="23" xfId="0" applyFont="1" applyBorder="1" applyAlignment="1">
      <alignment horizontal="left" vertical="top"/>
    </xf>
    <xf numFmtId="0" fontId="13" fillId="0" borderId="31" xfId="0" applyFont="1" applyBorder="1" applyAlignment="1">
      <alignment horizontal="left" vertical="top"/>
    </xf>
    <xf numFmtId="0" fontId="13" fillId="0" borderId="26" xfId="0" applyFont="1" applyBorder="1" applyAlignment="1">
      <alignment horizontal="center" vertical="top" wrapText="1"/>
    </xf>
    <xf numFmtId="0" fontId="13" fillId="0" borderId="23" xfId="0" applyFont="1" applyBorder="1" applyAlignment="1">
      <alignment horizontal="center" vertical="top"/>
    </xf>
    <xf numFmtId="0" fontId="13" fillId="0" borderId="31" xfId="0" applyFont="1" applyBorder="1" applyAlignment="1">
      <alignment horizontal="center" vertical="top"/>
    </xf>
    <xf numFmtId="165" fontId="13" fillId="0" borderId="26" xfId="1" applyFont="1" applyFill="1" applyBorder="1" applyAlignment="1">
      <alignment horizontal="center" vertical="top" wrapText="1"/>
    </xf>
    <xf numFmtId="165" fontId="13" fillId="0" borderId="23" xfId="1" applyFont="1" applyFill="1" applyBorder="1" applyAlignment="1">
      <alignment horizontal="center" vertical="top"/>
    </xf>
    <xf numFmtId="165" fontId="13" fillId="0" borderId="31" xfId="1" applyFont="1" applyFill="1" applyBorder="1" applyAlignment="1">
      <alignment horizontal="center" vertical="top"/>
    </xf>
    <xf numFmtId="165" fontId="13" fillId="0" borderId="23" xfId="1" applyFont="1" applyFill="1" applyBorder="1" applyAlignment="1">
      <alignment horizontal="center" vertical="top" wrapText="1"/>
    </xf>
    <xf numFmtId="165" fontId="13" fillId="0" borderId="31" xfId="1" applyFont="1" applyFill="1" applyBorder="1" applyAlignment="1">
      <alignment horizontal="center" vertical="top" wrapText="1"/>
    </xf>
    <xf numFmtId="0" fontId="13" fillId="0" borderId="0" xfId="0" applyFont="1" applyAlignment="1">
      <alignment horizontal="left"/>
    </xf>
    <xf numFmtId="165" fontId="13" fillId="0" borderId="33" xfId="1" applyFont="1" applyFill="1" applyBorder="1" applyAlignment="1">
      <alignment horizontal="center" vertical="top" wrapText="1"/>
    </xf>
    <xf numFmtId="165" fontId="13" fillId="0" borderId="34" xfId="1" applyFont="1" applyFill="1" applyBorder="1" applyAlignment="1">
      <alignment horizontal="center" vertical="top" wrapText="1"/>
    </xf>
    <xf numFmtId="165" fontId="13" fillId="0" borderId="25" xfId="1" applyFont="1" applyFill="1" applyBorder="1" applyAlignment="1">
      <alignment horizontal="center" vertical="top" wrapText="1"/>
    </xf>
    <xf numFmtId="165" fontId="13" fillId="0" borderId="24" xfId="1" applyFont="1" applyFill="1" applyBorder="1" applyAlignment="1">
      <alignment horizontal="center" vertical="top" wrapText="1"/>
    </xf>
    <xf numFmtId="165" fontId="13" fillId="0" borderId="32" xfId="1" applyFont="1" applyFill="1" applyBorder="1" applyAlignment="1">
      <alignment horizontal="center" vertical="top" wrapText="1"/>
    </xf>
    <xf numFmtId="165" fontId="13" fillId="0" borderId="27" xfId="1" applyFont="1" applyFill="1" applyBorder="1" applyAlignment="1">
      <alignment horizontal="center" vertical="top" wrapText="1"/>
    </xf>
    <xf numFmtId="0" fontId="8" fillId="0" borderId="18" xfId="0" applyFont="1" applyBorder="1"/>
    <xf numFmtId="0" fontId="5" fillId="0" borderId="0" xfId="0" applyFont="1" applyAlignment="1">
      <alignment horizontal="right"/>
    </xf>
    <xf numFmtId="0" fontId="38" fillId="0" borderId="0" xfId="0" applyFont="1" applyAlignment="1">
      <alignment horizontal="center"/>
    </xf>
    <xf numFmtId="0" fontId="13" fillId="0" borderId="0" xfId="0" applyFont="1" applyAlignment="1">
      <alignment horizontal="center"/>
    </xf>
  </cellXfs>
  <cellStyles count="4">
    <cellStyle name="Comma" xfId="1" builtinId="3"/>
    <cellStyle name="Comma 2" xfId="2" xr:uid="{00000000-0005-0000-0000-000001000000}"/>
    <cellStyle name="Comma 3" xfId="3" xr:uid="{00000000-0005-0000-0000-000002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20DATA/Deep%202022/SOCIETY%20RETURN/MOGS/FINAL%20BS%20&amp;%20I%20&amp;%20E%202022/MOGS%20P&amp;%20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c. Exp"/>
      <sheetName val="Sch 1"/>
      <sheetName val="Sch 2,3"/>
      <sheetName val="Sch 4 "/>
      <sheetName val="Sheet2"/>
      <sheetName val="Sch 5"/>
      <sheetName val="sch 6 "/>
      <sheetName val="Sch 7"/>
    </sheetNames>
    <sheetDataSet>
      <sheetData sheetId="0">
        <row r="39">
          <cell r="F39">
            <v>500000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9"/>
  <sheetViews>
    <sheetView view="pageBreakPreview" topLeftCell="A45" zoomScaleNormal="50" zoomScaleSheetLayoutView="100" workbookViewId="0">
      <selection activeCell="F55" sqref="F55:J55"/>
    </sheetView>
  </sheetViews>
  <sheetFormatPr defaultColWidth="9.140625" defaultRowHeight="14.25" x14ac:dyDescent="0.2"/>
  <cols>
    <col min="1" max="1" width="4.28515625" style="3" customWidth="1"/>
    <col min="2" max="2" width="9.140625" style="3"/>
    <col min="3" max="3" width="12.140625" style="3" bestFit="1" customWidth="1"/>
    <col min="4" max="6" width="9.140625" style="3"/>
    <col min="7" max="7" width="12.42578125" style="3" customWidth="1"/>
    <col min="8" max="8" width="11.85546875" style="3" customWidth="1"/>
    <col min="9" max="9" width="9.140625" style="3"/>
    <col min="10" max="10" width="12.28515625" style="4" customWidth="1"/>
    <col min="11" max="16384" width="9.140625" style="3"/>
  </cols>
  <sheetData>
    <row r="1" spans="1:10" x14ac:dyDescent="0.2">
      <c r="F1" s="3" t="s">
        <v>381</v>
      </c>
    </row>
    <row r="2" spans="1:10" x14ac:dyDescent="0.2">
      <c r="F2" s="3" t="s">
        <v>382</v>
      </c>
    </row>
    <row r="3" spans="1:10" x14ac:dyDescent="0.2">
      <c r="F3" s="3" t="s">
        <v>383</v>
      </c>
    </row>
    <row r="5" spans="1:10" ht="15" thickBot="1" x14ac:dyDescent="0.25">
      <c r="A5" s="3" t="s">
        <v>384</v>
      </c>
      <c r="D5" s="5" t="s">
        <v>479</v>
      </c>
    </row>
    <row r="7" spans="1:10" ht="15" thickBot="1" x14ac:dyDescent="0.25">
      <c r="A7" s="3" t="s">
        <v>385</v>
      </c>
      <c r="E7" s="5" t="s">
        <v>195</v>
      </c>
      <c r="F7" s="6"/>
      <c r="G7" s="6"/>
      <c r="H7" s="6"/>
      <c r="I7" s="6"/>
    </row>
    <row r="9" spans="1:10" ht="15" thickBot="1" x14ac:dyDescent="0.25">
      <c r="A9" s="3" t="s">
        <v>386</v>
      </c>
      <c r="D9" s="5" t="s">
        <v>540</v>
      </c>
      <c r="E9" s="6"/>
    </row>
    <row r="10" spans="1:10" ht="15" thickBot="1" x14ac:dyDescent="0.25">
      <c r="A10" s="6"/>
      <c r="B10" s="6"/>
      <c r="C10" s="6"/>
      <c r="D10" s="6"/>
      <c r="E10" s="6"/>
      <c r="F10" s="6"/>
      <c r="G10" s="6"/>
      <c r="H10" s="6"/>
      <c r="I10" s="6"/>
      <c r="J10" s="7"/>
    </row>
    <row r="11" spans="1:10" x14ac:dyDescent="0.2">
      <c r="J11" s="8"/>
    </row>
    <row r="12" spans="1:10" x14ac:dyDescent="0.2">
      <c r="A12" s="4" t="s">
        <v>387</v>
      </c>
      <c r="B12" s="249" t="s">
        <v>388</v>
      </c>
      <c r="C12" s="249"/>
      <c r="D12" s="249"/>
      <c r="E12" s="249"/>
      <c r="F12" s="249"/>
      <c r="G12" s="249"/>
      <c r="H12" s="249"/>
      <c r="J12" s="8" t="s">
        <v>389</v>
      </c>
    </row>
    <row r="13" spans="1:10" x14ac:dyDescent="0.2">
      <c r="A13" s="4"/>
      <c r="B13" s="249"/>
      <c r="C13" s="249"/>
      <c r="D13" s="249"/>
      <c r="E13" s="249"/>
      <c r="F13" s="249"/>
      <c r="G13" s="249"/>
      <c r="H13" s="249"/>
      <c r="J13" s="8"/>
    </row>
    <row r="14" spans="1:10" x14ac:dyDescent="0.2">
      <c r="A14" s="4" t="s">
        <v>390</v>
      </c>
      <c r="B14" s="3" t="s">
        <v>391</v>
      </c>
      <c r="J14" s="8" t="s">
        <v>389</v>
      </c>
    </row>
    <row r="15" spans="1:10" x14ac:dyDescent="0.2">
      <c r="A15" s="4" t="s">
        <v>392</v>
      </c>
      <c r="B15" s="249" t="s">
        <v>393</v>
      </c>
      <c r="C15" s="249"/>
      <c r="D15" s="249"/>
      <c r="E15" s="249"/>
      <c r="F15" s="249"/>
      <c r="G15" s="249"/>
      <c r="H15" s="249"/>
      <c r="J15" s="8"/>
    </row>
    <row r="16" spans="1:10" x14ac:dyDescent="0.2">
      <c r="A16" s="4"/>
      <c r="B16" s="249"/>
      <c r="C16" s="249"/>
      <c r="D16" s="249"/>
      <c r="E16" s="249"/>
      <c r="F16" s="249"/>
      <c r="G16" s="249"/>
      <c r="H16" s="249"/>
      <c r="J16" s="8" t="s">
        <v>389</v>
      </c>
    </row>
    <row r="17" spans="1:10" x14ac:dyDescent="0.2">
      <c r="A17" s="4" t="s">
        <v>394</v>
      </c>
      <c r="B17" s="249" t="s">
        <v>395</v>
      </c>
      <c r="C17" s="249"/>
      <c r="D17" s="249"/>
      <c r="E17" s="249"/>
      <c r="F17" s="249"/>
      <c r="G17" s="249"/>
      <c r="H17" s="249"/>
      <c r="J17" s="8"/>
    </row>
    <row r="18" spans="1:10" x14ac:dyDescent="0.2">
      <c r="A18" s="4"/>
      <c r="B18" s="249"/>
      <c r="C18" s="249"/>
      <c r="D18" s="249"/>
      <c r="E18" s="249"/>
      <c r="F18" s="249"/>
      <c r="G18" s="249"/>
      <c r="H18" s="249"/>
      <c r="J18" s="8" t="s">
        <v>389</v>
      </c>
    </row>
    <row r="19" spans="1:10" x14ac:dyDescent="0.2">
      <c r="A19" s="4" t="s">
        <v>396</v>
      </c>
      <c r="B19" s="249" t="s">
        <v>397</v>
      </c>
      <c r="C19" s="249"/>
      <c r="D19" s="249"/>
      <c r="E19" s="249"/>
      <c r="F19" s="249"/>
      <c r="G19" s="249"/>
      <c r="H19" s="249"/>
      <c r="J19" s="8"/>
    </row>
    <row r="20" spans="1:10" x14ac:dyDescent="0.2">
      <c r="A20" s="4"/>
      <c r="B20" s="249"/>
      <c r="C20" s="249"/>
      <c r="D20" s="249"/>
      <c r="E20" s="249"/>
      <c r="F20" s="249"/>
      <c r="G20" s="249"/>
      <c r="H20" s="249"/>
      <c r="J20" s="8"/>
    </row>
    <row r="21" spans="1:10" x14ac:dyDescent="0.2">
      <c r="A21" s="4"/>
      <c r="B21" s="249"/>
      <c r="C21" s="249"/>
      <c r="D21" s="249"/>
      <c r="E21" s="249"/>
      <c r="F21" s="249"/>
      <c r="G21" s="249"/>
      <c r="H21" s="249"/>
      <c r="J21" s="8" t="s">
        <v>389</v>
      </c>
    </row>
    <row r="22" spans="1:10" x14ac:dyDescent="0.2">
      <c r="A22" s="4"/>
      <c r="B22" s="249"/>
      <c r="C22" s="249"/>
      <c r="D22" s="249"/>
      <c r="E22" s="249"/>
      <c r="F22" s="249"/>
      <c r="G22" s="249"/>
      <c r="H22" s="249"/>
      <c r="J22" s="8"/>
    </row>
    <row r="23" spans="1:10" x14ac:dyDescent="0.2">
      <c r="A23" s="4" t="s">
        <v>398</v>
      </c>
      <c r="B23" s="249" t="s">
        <v>399</v>
      </c>
      <c r="C23" s="249"/>
      <c r="D23" s="249"/>
      <c r="E23" s="249"/>
      <c r="F23" s="249"/>
      <c r="G23" s="249"/>
      <c r="H23" s="249"/>
      <c r="J23" s="8" t="s">
        <v>389</v>
      </c>
    </row>
    <row r="24" spans="1:10" x14ac:dyDescent="0.2">
      <c r="A24" s="4"/>
      <c r="B24" s="249"/>
      <c r="C24" s="249"/>
      <c r="D24" s="249"/>
      <c r="E24" s="249"/>
      <c r="F24" s="249"/>
      <c r="G24" s="249"/>
      <c r="H24" s="249"/>
      <c r="J24" s="8"/>
    </row>
    <row r="25" spans="1:10" x14ac:dyDescent="0.2">
      <c r="A25" s="4" t="s">
        <v>400</v>
      </c>
      <c r="B25" s="249" t="s">
        <v>401</v>
      </c>
      <c r="C25" s="249"/>
      <c r="D25" s="249"/>
      <c r="E25" s="249"/>
      <c r="F25" s="249"/>
      <c r="G25" s="249"/>
      <c r="H25" s="249"/>
      <c r="J25" s="8" t="s">
        <v>402</v>
      </c>
    </row>
    <row r="26" spans="1:10" x14ac:dyDescent="0.2">
      <c r="A26" s="4"/>
      <c r="B26" s="249"/>
      <c r="C26" s="249"/>
      <c r="D26" s="249"/>
      <c r="E26" s="249"/>
      <c r="F26" s="249"/>
      <c r="G26" s="249"/>
      <c r="H26" s="249"/>
      <c r="J26" s="8"/>
    </row>
    <row r="27" spans="1:10" x14ac:dyDescent="0.2">
      <c r="A27" s="4" t="s">
        <v>403</v>
      </c>
      <c r="B27" s="249" t="s">
        <v>404</v>
      </c>
      <c r="C27" s="249"/>
      <c r="D27" s="249"/>
      <c r="E27" s="249"/>
      <c r="F27" s="249"/>
      <c r="G27" s="249"/>
      <c r="H27" s="249"/>
      <c r="I27" s="9"/>
      <c r="J27" s="8" t="s">
        <v>405</v>
      </c>
    </row>
    <row r="28" spans="1:10" x14ac:dyDescent="0.2">
      <c r="A28" s="4"/>
      <c r="B28" s="249"/>
      <c r="C28" s="249"/>
      <c r="D28" s="249"/>
      <c r="E28" s="249"/>
      <c r="F28" s="249"/>
      <c r="G28" s="249"/>
      <c r="H28" s="249"/>
      <c r="I28" s="9"/>
      <c r="J28" s="8"/>
    </row>
    <row r="29" spans="1:10" x14ac:dyDescent="0.2">
      <c r="A29" s="4" t="s">
        <v>406</v>
      </c>
      <c r="B29" s="249" t="s">
        <v>407</v>
      </c>
      <c r="C29" s="249"/>
      <c r="D29" s="249"/>
      <c r="E29" s="249"/>
      <c r="F29" s="249"/>
      <c r="G29" s="249"/>
      <c r="H29" s="249"/>
      <c r="I29" s="9"/>
      <c r="J29" s="8" t="s">
        <v>538</v>
      </c>
    </row>
    <row r="30" spans="1:10" x14ac:dyDescent="0.2">
      <c r="A30" s="4"/>
      <c r="B30" s="249"/>
      <c r="C30" s="249"/>
      <c r="D30" s="249"/>
      <c r="E30" s="249"/>
      <c r="F30" s="249"/>
      <c r="G30" s="249"/>
      <c r="H30" s="249"/>
      <c r="J30" s="8"/>
    </row>
    <row r="31" spans="1:10" x14ac:dyDescent="0.2">
      <c r="A31" s="4" t="s">
        <v>408</v>
      </c>
      <c r="B31" s="249" t="s">
        <v>409</v>
      </c>
      <c r="C31" s="249"/>
      <c r="D31" s="249"/>
      <c r="E31" s="249"/>
      <c r="F31" s="249"/>
      <c r="G31" s="249"/>
      <c r="H31" s="249"/>
      <c r="J31" s="8" t="s">
        <v>402</v>
      </c>
    </row>
    <row r="32" spans="1:10" x14ac:dyDescent="0.2">
      <c r="A32" s="4"/>
      <c r="B32" s="249"/>
      <c r="C32" s="249"/>
      <c r="D32" s="249"/>
      <c r="E32" s="249"/>
      <c r="F32" s="249"/>
      <c r="G32" s="249"/>
      <c r="H32" s="249"/>
      <c r="J32" s="8"/>
    </row>
    <row r="33" spans="1:10" x14ac:dyDescent="0.2">
      <c r="A33" s="4" t="s">
        <v>410</v>
      </c>
      <c r="B33" s="249" t="s">
        <v>411</v>
      </c>
      <c r="C33" s="249"/>
      <c r="D33" s="249"/>
      <c r="E33" s="249"/>
      <c r="F33" s="249"/>
      <c r="G33" s="249"/>
      <c r="H33" s="249"/>
      <c r="J33" s="8" t="s">
        <v>405</v>
      </c>
    </row>
    <row r="34" spans="1:10" x14ac:dyDescent="0.2">
      <c r="A34" s="4"/>
      <c r="B34" s="249"/>
      <c r="C34" s="249"/>
      <c r="D34" s="249"/>
      <c r="E34" s="249"/>
      <c r="F34" s="249"/>
      <c r="G34" s="249"/>
      <c r="H34" s="249"/>
      <c r="J34" s="8"/>
    </row>
    <row r="35" spans="1:10" x14ac:dyDescent="0.2">
      <c r="A35" s="4" t="s">
        <v>412</v>
      </c>
      <c r="B35" s="251" t="s">
        <v>413</v>
      </c>
      <c r="C35" s="251"/>
      <c r="D35" s="251"/>
      <c r="E35" s="251"/>
      <c r="F35" s="251"/>
      <c r="G35" s="251"/>
      <c r="H35" s="251"/>
      <c r="J35" s="8" t="s">
        <v>402</v>
      </c>
    </row>
    <row r="36" spans="1:10" x14ac:dyDescent="0.2">
      <c r="A36" s="4"/>
      <c r="B36" s="251"/>
      <c r="C36" s="251"/>
      <c r="D36" s="251"/>
      <c r="E36" s="251"/>
      <c r="F36" s="251"/>
      <c r="G36" s="251"/>
      <c r="H36" s="251"/>
      <c r="J36" s="8"/>
    </row>
    <row r="37" spans="1:10" x14ac:dyDescent="0.2">
      <c r="A37" s="4"/>
      <c r="B37" s="251"/>
      <c r="C37" s="251"/>
      <c r="D37" s="251"/>
      <c r="E37" s="251"/>
      <c r="F37" s="251"/>
      <c r="G37" s="251"/>
      <c r="H37" s="251"/>
      <c r="J37" s="8"/>
    </row>
    <row r="38" spans="1:10" x14ac:dyDescent="0.2">
      <c r="A38" s="4" t="s">
        <v>414</v>
      </c>
      <c r="B38" s="3" t="s">
        <v>415</v>
      </c>
      <c r="J38" s="8" t="s">
        <v>389</v>
      </c>
    </row>
    <row r="39" spans="1:10" x14ac:dyDescent="0.2">
      <c r="A39" s="4" t="s">
        <v>416</v>
      </c>
      <c r="B39" s="3" t="s">
        <v>417</v>
      </c>
      <c r="J39" s="8" t="s">
        <v>389</v>
      </c>
    </row>
    <row r="40" spans="1:10" x14ac:dyDescent="0.2">
      <c r="A40" s="4" t="s">
        <v>418</v>
      </c>
      <c r="B40" s="3" t="s">
        <v>419</v>
      </c>
      <c r="J40" s="8" t="s">
        <v>389</v>
      </c>
    </row>
    <row r="41" spans="1:10" x14ac:dyDescent="0.2">
      <c r="A41" s="4" t="s">
        <v>420</v>
      </c>
      <c r="B41" s="3" t="s">
        <v>421</v>
      </c>
      <c r="J41" s="8" t="s">
        <v>389</v>
      </c>
    </row>
    <row r="42" spans="1:10" x14ac:dyDescent="0.2">
      <c r="A42" s="4" t="s">
        <v>422</v>
      </c>
      <c r="B42" s="3" t="s">
        <v>423</v>
      </c>
      <c r="J42" s="8" t="s">
        <v>402</v>
      </c>
    </row>
    <row r="43" spans="1:10" x14ac:dyDescent="0.2">
      <c r="A43" s="4" t="s">
        <v>424</v>
      </c>
      <c r="B43" s="3" t="s">
        <v>425</v>
      </c>
      <c r="J43" s="8" t="s">
        <v>402</v>
      </c>
    </row>
    <row r="44" spans="1:10" x14ac:dyDescent="0.2">
      <c r="A44" s="4" t="s">
        <v>426</v>
      </c>
      <c r="B44" s="249" t="s">
        <v>427</v>
      </c>
      <c r="C44" s="249"/>
      <c r="D44" s="249"/>
      <c r="E44" s="249"/>
      <c r="F44" s="249"/>
      <c r="G44" s="249"/>
      <c r="H44" s="249"/>
      <c r="J44" s="8" t="s">
        <v>428</v>
      </c>
    </row>
    <row r="45" spans="1:10" x14ac:dyDescent="0.2">
      <c r="A45" s="4"/>
      <c r="B45" s="249"/>
      <c r="C45" s="249"/>
      <c r="D45" s="249"/>
      <c r="E45" s="249"/>
      <c r="F45" s="249"/>
      <c r="G45" s="249"/>
      <c r="H45" s="249"/>
      <c r="J45" s="8"/>
    </row>
    <row r="46" spans="1:10" x14ac:dyDescent="0.2">
      <c r="A46" s="4"/>
      <c r="B46" s="249"/>
      <c r="C46" s="249"/>
      <c r="D46" s="249"/>
      <c r="E46" s="249"/>
      <c r="F46" s="249"/>
      <c r="G46" s="249"/>
      <c r="H46" s="249"/>
      <c r="J46" s="8"/>
    </row>
    <row r="47" spans="1:10" x14ac:dyDescent="0.2">
      <c r="A47" s="4" t="s">
        <v>429</v>
      </c>
      <c r="B47" s="249" t="s">
        <v>430</v>
      </c>
      <c r="C47" s="249"/>
      <c r="D47" s="249"/>
      <c r="E47" s="249"/>
      <c r="F47" s="249"/>
      <c r="G47" s="249"/>
      <c r="H47" s="249"/>
      <c r="J47" s="8" t="s">
        <v>402</v>
      </c>
    </row>
    <row r="48" spans="1:10" x14ac:dyDescent="0.2">
      <c r="A48" s="4"/>
      <c r="B48" s="249"/>
      <c r="C48" s="249"/>
      <c r="D48" s="249"/>
      <c r="E48" s="249"/>
      <c r="F48" s="249"/>
      <c r="G48" s="249"/>
      <c r="H48" s="249"/>
      <c r="J48" s="8"/>
    </row>
    <row r="49" spans="1:10" ht="15" thickBot="1" x14ac:dyDescent="0.25">
      <c r="A49" s="7"/>
      <c r="B49" s="6"/>
      <c r="C49" s="6"/>
      <c r="D49" s="6"/>
      <c r="E49" s="6"/>
      <c r="F49" s="6"/>
      <c r="G49" s="6"/>
      <c r="H49" s="6"/>
      <c r="I49" s="6"/>
      <c r="J49" s="10"/>
    </row>
    <row r="50" spans="1:10" x14ac:dyDescent="0.2">
      <c r="A50" s="4"/>
    </row>
    <row r="51" spans="1:10" ht="15.75" x14ac:dyDescent="0.25">
      <c r="A51" s="4"/>
      <c r="F51" s="2" t="s">
        <v>62</v>
      </c>
      <c r="G51" s="2"/>
      <c r="H51" s="2"/>
      <c r="I51" s="2"/>
      <c r="J51" s="9"/>
    </row>
    <row r="52" spans="1:10" ht="15.75" x14ac:dyDescent="0.25">
      <c r="A52" s="4"/>
      <c r="F52" s="248" t="s">
        <v>63</v>
      </c>
      <c r="G52" s="248"/>
      <c r="H52" s="248"/>
      <c r="I52" s="248"/>
      <c r="J52" s="248"/>
    </row>
    <row r="53" spans="1:10" ht="15.75" x14ac:dyDescent="0.25">
      <c r="F53" s="1"/>
      <c r="G53" s="1"/>
      <c r="H53" s="1"/>
      <c r="I53" s="1"/>
      <c r="J53" s="9"/>
    </row>
    <row r="54" spans="1:10" ht="15.75" x14ac:dyDescent="0.25">
      <c r="A54" s="11"/>
      <c r="F54" s="1"/>
      <c r="G54" s="1"/>
      <c r="H54" s="1"/>
      <c r="I54" s="1"/>
      <c r="J54" s="9"/>
    </row>
    <row r="55" spans="1:10" ht="15.75" x14ac:dyDescent="0.25">
      <c r="A55" s="11"/>
      <c r="F55" s="248" t="s">
        <v>305</v>
      </c>
      <c r="G55" s="248"/>
      <c r="H55" s="248"/>
      <c r="I55" s="248"/>
      <c r="J55" s="248"/>
    </row>
    <row r="56" spans="1:10" ht="15.75" x14ac:dyDescent="0.25">
      <c r="A56" s="250" t="s">
        <v>539</v>
      </c>
      <c r="B56" s="250"/>
      <c r="C56" s="114"/>
      <c r="F56" s="248" t="s">
        <v>169</v>
      </c>
      <c r="G56" s="248"/>
      <c r="H56" s="248"/>
      <c r="I56" s="248"/>
      <c r="J56" s="248"/>
    </row>
    <row r="57" spans="1:10" x14ac:dyDescent="0.2">
      <c r="A57" s="12" t="s">
        <v>431</v>
      </c>
      <c r="B57" s="12"/>
      <c r="C57" s="116" t="s">
        <v>432</v>
      </c>
    </row>
    <row r="58" spans="1:10" x14ac:dyDescent="0.2">
      <c r="A58" s="12"/>
      <c r="B58" s="12"/>
      <c r="C58" s="11"/>
    </row>
    <row r="59" spans="1:10" x14ac:dyDescent="0.2">
      <c r="B59" s="9"/>
    </row>
  </sheetData>
  <mergeCells count="17">
    <mergeCell ref="B44:H46"/>
    <mergeCell ref="B12:H13"/>
    <mergeCell ref="B15:H16"/>
    <mergeCell ref="B17:H18"/>
    <mergeCell ref="B19:H22"/>
    <mergeCell ref="B23:H24"/>
    <mergeCell ref="B25:H26"/>
    <mergeCell ref="B27:H28"/>
    <mergeCell ref="B29:H30"/>
    <mergeCell ref="B31:H32"/>
    <mergeCell ref="B33:H34"/>
    <mergeCell ref="B35:H37"/>
    <mergeCell ref="F52:J52"/>
    <mergeCell ref="F55:J55"/>
    <mergeCell ref="F56:J56"/>
    <mergeCell ref="B47:H48"/>
    <mergeCell ref="A56:B56"/>
  </mergeCells>
  <pageMargins left="0.72" right="0.13" top="0.51" bottom="0.6" header="0.5" footer="0.5"/>
  <pageSetup paperSize="9" scale="91" orientation="portrait"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B2:K47"/>
  <sheetViews>
    <sheetView view="pageBreakPreview" topLeftCell="A7" zoomScaleNormal="100" zoomScaleSheetLayoutView="100" workbookViewId="0">
      <selection activeCell="I38" sqref="I38"/>
    </sheetView>
  </sheetViews>
  <sheetFormatPr defaultColWidth="9.140625" defaultRowHeight="15.75" x14ac:dyDescent="0.25"/>
  <cols>
    <col min="1" max="1" width="3" style="45" customWidth="1"/>
    <col min="2" max="2" width="4" style="45" bestFit="1" customWidth="1"/>
    <col min="3" max="3" width="15.42578125" style="45" customWidth="1"/>
    <col min="4" max="4" width="8.140625" style="45" customWidth="1"/>
    <col min="5" max="5" width="18.42578125" style="45" customWidth="1"/>
    <col min="6" max="6" width="17.85546875" style="45" bestFit="1" customWidth="1"/>
    <col min="7" max="7" width="7" style="45" hidden="1" customWidth="1"/>
    <col min="8" max="8" width="16.7109375" style="45" bestFit="1" customWidth="1"/>
    <col min="9" max="9" width="18.7109375" style="45" bestFit="1" customWidth="1"/>
    <col min="10" max="10" width="16" style="45" customWidth="1"/>
    <col min="11" max="11" width="18.85546875" style="50" customWidth="1"/>
    <col min="12" max="12" width="11.5703125" style="45" bestFit="1" customWidth="1"/>
    <col min="13" max="16384" width="9.140625" style="45"/>
  </cols>
  <sheetData>
    <row r="2" spans="2:11" x14ac:dyDescent="0.25">
      <c r="B2" s="270"/>
      <c r="C2" s="270"/>
      <c r="D2" s="270"/>
      <c r="E2" s="270"/>
      <c r="F2" s="270"/>
      <c r="G2" s="270"/>
      <c r="H2" s="270"/>
      <c r="I2" s="270"/>
      <c r="J2" s="270"/>
      <c r="K2" s="270"/>
    </row>
    <row r="3" spans="2:11" x14ac:dyDescent="0.25">
      <c r="E3" s="50"/>
      <c r="F3" s="50"/>
      <c r="G3" s="50"/>
      <c r="H3" s="50"/>
      <c r="I3" s="50"/>
      <c r="J3" s="50"/>
    </row>
    <row r="4" spans="2:11" x14ac:dyDescent="0.25">
      <c r="C4" s="282" t="s">
        <v>195</v>
      </c>
      <c r="D4" s="282"/>
      <c r="E4" s="282"/>
      <c r="F4" s="282"/>
      <c r="G4" s="282"/>
      <c r="H4" s="282"/>
      <c r="I4" s="282"/>
      <c r="J4" s="282"/>
      <c r="K4" s="282"/>
    </row>
    <row r="5" spans="2:11" x14ac:dyDescent="0.25">
      <c r="C5" s="63"/>
      <c r="E5" s="50"/>
      <c r="F5" s="50"/>
      <c r="G5" s="50"/>
      <c r="H5" s="50"/>
      <c r="I5" s="50"/>
      <c r="J5" s="50"/>
    </row>
    <row r="6" spans="2:11" x14ac:dyDescent="0.25">
      <c r="C6" s="63" t="s">
        <v>144</v>
      </c>
      <c r="E6" s="63" t="s">
        <v>638</v>
      </c>
      <c r="F6" s="50"/>
      <c r="G6" s="50"/>
      <c r="H6" s="50"/>
      <c r="I6" s="50"/>
      <c r="J6" s="50"/>
    </row>
    <row r="7" spans="2:11" x14ac:dyDescent="0.25">
      <c r="C7" s="63"/>
      <c r="E7" s="50"/>
      <c r="F7" s="50"/>
      <c r="G7" s="50"/>
      <c r="H7" s="50"/>
      <c r="I7" s="50"/>
      <c r="J7" s="50"/>
    </row>
    <row r="8" spans="2:11" x14ac:dyDescent="0.25">
      <c r="E8" s="50"/>
      <c r="F8" s="50"/>
      <c r="G8" s="50"/>
      <c r="H8" s="50"/>
      <c r="I8" s="50"/>
      <c r="J8" s="50"/>
    </row>
    <row r="9" spans="2:11" ht="11.25" customHeight="1" x14ac:dyDescent="0.25">
      <c r="B9" s="271" t="s">
        <v>77</v>
      </c>
      <c r="C9" s="274" t="s">
        <v>78</v>
      </c>
      <c r="D9" s="274" t="s">
        <v>157</v>
      </c>
      <c r="E9" s="277" t="s">
        <v>614</v>
      </c>
      <c r="F9" s="283" t="s">
        <v>6</v>
      </c>
      <c r="G9" s="284"/>
      <c r="H9" s="277" t="s">
        <v>79</v>
      </c>
      <c r="I9" s="277" t="s">
        <v>615</v>
      </c>
      <c r="J9" s="277" t="s">
        <v>80</v>
      </c>
      <c r="K9" s="277" t="s">
        <v>616</v>
      </c>
    </row>
    <row r="10" spans="2:11" x14ac:dyDescent="0.25">
      <c r="B10" s="272"/>
      <c r="C10" s="275"/>
      <c r="D10" s="275"/>
      <c r="E10" s="275"/>
      <c r="F10" s="285"/>
      <c r="G10" s="286"/>
      <c r="H10" s="278"/>
      <c r="I10" s="278"/>
      <c r="J10" s="278"/>
      <c r="K10" s="280"/>
    </row>
    <row r="11" spans="2:11" ht="19.5" customHeight="1" x14ac:dyDescent="0.25">
      <c r="B11" s="273"/>
      <c r="C11" s="276"/>
      <c r="D11" s="276"/>
      <c r="E11" s="276"/>
      <c r="F11" s="287"/>
      <c r="G11" s="288"/>
      <c r="H11" s="279"/>
      <c r="I11" s="279"/>
      <c r="J11" s="279"/>
      <c r="K11" s="281"/>
    </row>
    <row r="12" spans="2:11" x14ac:dyDescent="0.25">
      <c r="B12" s="203"/>
      <c r="C12" s="204"/>
      <c r="D12" s="204"/>
      <c r="E12" s="75"/>
      <c r="F12" s="76"/>
      <c r="G12" s="77"/>
      <c r="H12" s="78"/>
      <c r="I12" s="77"/>
      <c r="J12" s="77"/>
      <c r="K12" s="79"/>
    </row>
    <row r="13" spans="2:11" x14ac:dyDescent="0.25">
      <c r="B13" s="205"/>
      <c r="C13" s="206"/>
      <c r="D13" s="206"/>
      <c r="E13" s="80"/>
      <c r="F13" s="81"/>
      <c r="G13" s="80"/>
      <c r="H13" s="82"/>
      <c r="I13" s="80"/>
      <c r="J13" s="80"/>
      <c r="K13" s="82"/>
    </row>
    <row r="14" spans="2:11" x14ac:dyDescent="0.25">
      <c r="B14" s="205">
        <v>1</v>
      </c>
      <c r="C14" s="206" t="s">
        <v>81</v>
      </c>
      <c r="D14" s="207">
        <v>0.4</v>
      </c>
      <c r="E14" s="80">
        <v>13225.8</v>
      </c>
      <c r="F14" s="81">
        <v>0</v>
      </c>
      <c r="G14" s="80" t="s">
        <v>99</v>
      </c>
      <c r="H14" s="83">
        <v>0</v>
      </c>
      <c r="I14" s="80">
        <f>E14+F14+F15-H14</f>
        <v>13225.8</v>
      </c>
      <c r="J14" s="80">
        <v>5290.32</v>
      </c>
      <c r="K14" s="82">
        <f>I14-J14</f>
        <v>7935.48</v>
      </c>
    </row>
    <row r="15" spans="2:11" x14ac:dyDescent="0.25">
      <c r="B15" s="205"/>
      <c r="C15" s="206"/>
      <c r="D15" s="207"/>
      <c r="E15" s="80"/>
      <c r="F15" s="81">
        <v>0</v>
      </c>
      <c r="G15" s="206" t="s">
        <v>100</v>
      </c>
      <c r="H15" s="83"/>
      <c r="I15" s="80"/>
      <c r="J15" s="80"/>
      <c r="K15" s="82"/>
    </row>
    <row r="16" spans="2:11" x14ac:dyDescent="0.25">
      <c r="B16" s="205"/>
      <c r="C16" s="206"/>
      <c r="D16" s="207"/>
      <c r="E16" s="80"/>
      <c r="F16" s="208"/>
      <c r="G16" s="206"/>
      <c r="H16" s="83"/>
      <c r="I16" s="80"/>
      <c r="J16" s="80"/>
      <c r="K16" s="82"/>
    </row>
    <row r="17" spans="2:11" x14ac:dyDescent="0.25">
      <c r="B17" s="205">
        <v>2</v>
      </c>
      <c r="C17" s="206" t="s">
        <v>82</v>
      </c>
      <c r="D17" s="207"/>
      <c r="E17" s="80"/>
      <c r="F17" s="84"/>
      <c r="G17" s="80"/>
      <c r="H17" s="83"/>
      <c r="I17" s="80"/>
      <c r="J17" s="80"/>
      <c r="K17" s="82"/>
    </row>
    <row r="18" spans="2:11" x14ac:dyDescent="0.25">
      <c r="B18" s="205"/>
      <c r="C18" s="206" t="s">
        <v>83</v>
      </c>
      <c r="D18" s="207">
        <v>0.1</v>
      </c>
      <c r="E18" s="80">
        <v>74458.8</v>
      </c>
      <c r="F18" s="84"/>
      <c r="G18" s="80" t="s">
        <v>99</v>
      </c>
      <c r="H18" s="83">
        <v>0</v>
      </c>
      <c r="I18" s="80">
        <f>+E18+F18-H18</f>
        <v>74458.8</v>
      </c>
      <c r="J18" s="80">
        <v>7445.88</v>
      </c>
      <c r="K18" s="82">
        <f>SUM(I18-J18)</f>
        <v>67012.92</v>
      </c>
    </row>
    <row r="19" spans="2:11" x14ac:dyDescent="0.25">
      <c r="B19" s="205"/>
      <c r="C19" s="206"/>
      <c r="D19" s="206"/>
      <c r="E19" s="80"/>
      <c r="F19" s="81"/>
      <c r="G19" s="80"/>
      <c r="H19" s="82"/>
      <c r="I19" s="80"/>
      <c r="J19" s="80"/>
      <c r="K19" s="82"/>
    </row>
    <row r="20" spans="2:11" x14ac:dyDescent="0.25">
      <c r="B20" s="205">
        <v>3</v>
      </c>
      <c r="C20" s="206" t="s">
        <v>307</v>
      </c>
      <c r="D20" s="206"/>
      <c r="E20" s="80"/>
      <c r="F20" s="81"/>
      <c r="G20" s="80"/>
      <c r="H20" s="82"/>
      <c r="I20" s="80"/>
      <c r="J20" s="80"/>
      <c r="K20" s="82"/>
    </row>
    <row r="21" spans="2:11" x14ac:dyDescent="0.25">
      <c r="B21" s="205"/>
      <c r="C21" s="206" t="s">
        <v>308</v>
      </c>
      <c r="D21" s="207">
        <v>0.15</v>
      </c>
      <c r="E21" s="80">
        <v>25205</v>
      </c>
      <c r="F21" s="81"/>
      <c r="G21" s="80"/>
      <c r="H21" s="82">
        <v>0</v>
      </c>
      <c r="I21" s="80">
        <f>+E21+F21-H21</f>
        <v>25205</v>
      </c>
      <c r="J21" s="80">
        <v>3780.75</v>
      </c>
      <c r="K21" s="82">
        <f>SUM(I21-J21)</f>
        <v>21424.25</v>
      </c>
    </row>
    <row r="22" spans="2:11" x14ac:dyDescent="0.25">
      <c r="B22" s="205"/>
      <c r="C22" s="206"/>
      <c r="D22" s="206"/>
      <c r="E22" s="80"/>
      <c r="F22" s="81"/>
      <c r="G22" s="80"/>
      <c r="H22" s="82"/>
      <c r="I22" s="80"/>
      <c r="J22" s="80"/>
      <c r="K22" s="82"/>
    </row>
    <row r="23" spans="2:11" x14ac:dyDescent="0.25">
      <c r="B23" s="205"/>
      <c r="C23" s="206"/>
      <c r="D23" s="206"/>
      <c r="E23" s="80"/>
      <c r="F23" s="81"/>
      <c r="G23" s="80"/>
      <c r="H23" s="83"/>
      <c r="I23" s="80"/>
      <c r="J23" s="80"/>
      <c r="K23" s="82"/>
    </row>
    <row r="24" spans="2:11" x14ac:dyDescent="0.25">
      <c r="B24" s="205">
        <v>4</v>
      </c>
      <c r="C24" s="206" t="s">
        <v>84</v>
      </c>
      <c r="D24" s="207"/>
      <c r="E24" s="80"/>
      <c r="F24" s="84"/>
      <c r="G24" s="85"/>
      <c r="H24" s="83"/>
      <c r="I24" s="80"/>
      <c r="J24" s="80"/>
      <c r="K24" s="82"/>
    </row>
    <row r="25" spans="2:11" x14ac:dyDescent="0.25">
      <c r="B25" s="205"/>
      <c r="C25" s="206" t="s">
        <v>85</v>
      </c>
      <c r="D25" s="207">
        <v>0.15</v>
      </c>
      <c r="E25" s="80">
        <v>561</v>
      </c>
      <c r="F25" s="84"/>
      <c r="G25" s="85"/>
      <c r="H25" s="83">
        <v>0</v>
      </c>
      <c r="I25" s="80">
        <f>+E25+F25-H25</f>
        <v>561</v>
      </c>
      <c r="J25" s="80">
        <v>84.15</v>
      </c>
      <c r="K25" s="82">
        <f>SUM(I25-J25)</f>
        <v>476.85</v>
      </c>
    </row>
    <row r="26" spans="2:11" x14ac:dyDescent="0.25">
      <c r="B26" s="205"/>
      <c r="C26" s="206"/>
      <c r="D26" s="206"/>
      <c r="E26" s="80"/>
      <c r="F26" s="84"/>
      <c r="G26" s="85"/>
      <c r="H26" s="83"/>
      <c r="I26" s="80"/>
      <c r="J26" s="80"/>
      <c r="K26" s="82"/>
    </row>
    <row r="27" spans="2:11" x14ac:dyDescent="0.25">
      <c r="B27" s="205"/>
      <c r="C27" s="206"/>
      <c r="D27" s="206"/>
      <c r="E27" s="80"/>
      <c r="F27" s="84"/>
      <c r="G27" s="85"/>
      <c r="H27" s="83"/>
      <c r="I27" s="80"/>
      <c r="J27" s="80"/>
      <c r="K27" s="82"/>
    </row>
    <row r="28" spans="2:11" x14ac:dyDescent="0.25">
      <c r="B28" s="205">
        <v>5</v>
      </c>
      <c r="C28" s="206" t="s">
        <v>86</v>
      </c>
      <c r="D28" s="207">
        <v>0.15</v>
      </c>
      <c r="E28" s="80">
        <v>734</v>
      </c>
      <c r="F28" s="84">
        <v>0</v>
      </c>
      <c r="G28" s="85"/>
      <c r="H28" s="83">
        <v>0</v>
      </c>
      <c r="I28" s="80">
        <f>+E28+F28-H28</f>
        <v>734</v>
      </c>
      <c r="J28" s="80">
        <v>110</v>
      </c>
      <c r="K28" s="82">
        <f>SUM(I28-J28)</f>
        <v>624</v>
      </c>
    </row>
    <row r="29" spans="2:11" x14ac:dyDescent="0.25">
      <c r="B29" s="205"/>
      <c r="C29" s="206"/>
      <c r="D29" s="207"/>
      <c r="E29" s="80"/>
      <c r="F29" s="84"/>
      <c r="G29" s="85"/>
      <c r="H29" s="83"/>
      <c r="I29" s="80"/>
      <c r="J29" s="80"/>
      <c r="K29" s="82"/>
    </row>
    <row r="30" spans="2:11" x14ac:dyDescent="0.25">
      <c r="B30" s="205">
        <v>6</v>
      </c>
      <c r="C30" s="206" t="s">
        <v>87</v>
      </c>
      <c r="D30" s="207">
        <v>0.15</v>
      </c>
      <c r="E30" s="80"/>
      <c r="F30" s="84"/>
      <c r="G30" s="85"/>
      <c r="H30" s="83"/>
      <c r="I30" s="80"/>
      <c r="J30" s="80"/>
      <c r="K30" s="82"/>
    </row>
    <row r="31" spans="2:11" x14ac:dyDescent="0.25">
      <c r="B31" s="205"/>
      <c r="C31" s="206" t="s">
        <v>88</v>
      </c>
      <c r="D31" s="206"/>
      <c r="E31" s="80">
        <v>6337</v>
      </c>
      <c r="F31" s="84">
        <v>0</v>
      </c>
      <c r="G31" s="85"/>
      <c r="H31" s="83">
        <v>0</v>
      </c>
      <c r="I31" s="80">
        <f>+E31+F31-H31</f>
        <v>6337</v>
      </c>
      <c r="J31" s="80">
        <v>950.55</v>
      </c>
      <c r="K31" s="82">
        <f>SUM(I31-J31)</f>
        <v>5386.45</v>
      </c>
    </row>
    <row r="32" spans="2:11" x14ac:dyDescent="0.25">
      <c r="B32" s="205"/>
      <c r="C32" s="206"/>
      <c r="D32" s="207"/>
      <c r="E32" s="80"/>
      <c r="F32" s="81"/>
      <c r="G32" s="80"/>
      <c r="H32" s="83"/>
      <c r="I32" s="80"/>
      <c r="J32" s="80"/>
      <c r="K32" s="82"/>
    </row>
    <row r="33" spans="2:11" x14ac:dyDescent="0.25">
      <c r="B33" s="205">
        <v>7</v>
      </c>
      <c r="C33" s="206" t="s">
        <v>94</v>
      </c>
      <c r="D33" s="207">
        <v>0.15</v>
      </c>
      <c r="E33" s="80">
        <v>36262</v>
      </c>
      <c r="F33" s="81">
        <v>0</v>
      </c>
      <c r="G33" s="80" t="s">
        <v>99</v>
      </c>
      <c r="H33" s="83">
        <v>0</v>
      </c>
      <c r="I33" s="80">
        <f>+E33+F33-H33</f>
        <v>36262</v>
      </c>
      <c r="J33" s="80">
        <v>5439.3</v>
      </c>
      <c r="K33" s="82">
        <f>I33-J33</f>
        <v>30822.7</v>
      </c>
    </row>
    <row r="34" spans="2:11" x14ac:dyDescent="0.25">
      <c r="B34" s="205"/>
      <c r="C34" s="206"/>
      <c r="D34" s="207"/>
      <c r="E34" s="80"/>
      <c r="F34" s="81"/>
      <c r="G34" s="80"/>
      <c r="H34" s="83"/>
      <c r="I34" s="80"/>
      <c r="J34" s="80"/>
      <c r="K34" s="82"/>
    </row>
    <row r="35" spans="2:11" x14ac:dyDescent="0.25">
      <c r="B35" s="205">
        <v>8</v>
      </c>
      <c r="C35" s="206" t="s">
        <v>101</v>
      </c>
      <c r="D35" s="207">
        <v>0.15</v>
      </c>
      <c r="E35" s="80">
        <v>3856</v>
      </c>
      <c r="F35" s="81">
        <v>17899</v>
      </c>
      <c r="G35" s="80" t="s">
        <v>100</v>
      </c>
      <c r="H35" s="83">
        <v>0</v>
      </c>
      <c r="I35" s="80">
        <f>+E35+F35-H35</f>
        <v>21755</v>
      </c>
      <c r="J35" s="80">
        <v>1920.83</v>
      </c>
      <c r="K35" s="82">
        <f>SUM(I35-J35)</f>
        <v>19834.169999999998</v>
      </c>
    </row>
    <row r="36" spans="2:11" x14ac:dyDescent="0.25">
      <c r="B36" s="205"/>
      <c r="C36" s="206"/>
      <c r="D36" s="207"/>
      <c r="E36" s="80"/>
      <c r="F36" s="208"/>
      <c r="G36" s="80"/>
      <c r="H36" s="83"/>
      <c r="I36" s="80"/>
      <c r="J36" s="80"/>
      <c r="K36" s="82"/>
    </row>
    <row r="37" spans="2:11" x14ac:dyDescent="0.25">
      <c r="B37" s="205">
        <v>9</v>
      </c>
      <c r="C37" s="206" t="s">
        <v>103</v>
      </c>
      <c r="D37" s="207">
        <v>0.15</v>
      </c>
      <c r="E37" s="80">
        <v>402.05</v>
      </c>
      <c r="F37" s="81">
        <v>0</v>
      </c>
      <c r="G37" s="80" t="s">
        <v>102</v>
      </c>
      <c r="H37" s="83">
        <v>0</v>
      </c>
      <c r="I37" s="80">
        <f>+E37+F37-H37</f>
        <v>402.05</v>
      </c>
      <c r="J37" s="80">
        <v>60.3</v>
      </c>
      <c r="K37" s="82">
        <f>SUM(I37-J37)</f>
        <v>341.75</v>
      </c>
    </row>
    <row r="38" spans="2:11" x14ac:dyDescent="0.25">
      <c r="B38" s="205"/>
      <c r="C38" s="206"/>
      <c r="D38" s="207"/>
      <c r="E38" s="80"/>
      <c r="F38" s="208"/>
      <c r="G38" s="80"/>
      <c r="H38" s="83"/>
      <c r="I38" s="80"/>
      <c r="J38" s="80"/>
      <c r="K38" s="82"/>
    </row>
    <row r="39" spans="2:11" x14ac:dyDescent="0.25">
      <c r="B39" s="205">
        <v>10</v>
      </c>
      <c r="C39" s="206" t="s">
        <v>145</v>
      </c>
      <c r="D39" s="207"/>
      <c r="E39" s="80">
        <v>20026755</v>
      </c>
      <c r="F39" s="81">
        <v>0</v>
      </c>
      <c r="G39" s="80"/>
      <c r="H39" s="83">
        <v>0</v>
      </c>
      <c r="I39" s="80">
        <f>E39+F39-H39</f>
        <v>20026755</v>
      </c>
      <c r="J39" s="80">
        <v>0</v>
      </c>
      <c r="K39" s="80">
        <f>I39-J39</f>
        <v>20026755</v>
      </c>
    </row>
    <row r="40" spans="2:11" x14ac:dyDescent="0.25">
      <c r="B40" s="205"/>
      <c r="C40" s="206"/>
      <c r="D40" s="207"/>
      <c r="E40" s="80">
        <v>0</v>
      </c>
      <c r="F40" s="81"/>
      <c r="G40" s="80"/>
      <c r="H40" s="83"/>
      <c r="I40" s="80">
        <f>E40+F40-H40</f>
        <v>0</v>
      </c>
      <c r="J40" s="80"/>
      <c r="K40" s="80">
        <f>I40-J40</f>
        <v>0</v>
      </c>
    </row>
    <row r="41" spans="2:11" x14ac:dyDescent="0.25">
      <c r="B41" s="205">
        <v>11</v>
      </c>
      <c r="C41" s="206" t="s">
        <v>490</v>
      </c>
      <c r="D41" s="207"/>
      <c r="E41" s="80">
        <v>46296</v>
      </c>
      <c r="F41" s="81"/>
      <c r="G41" s="80"/>
      <c r="H41" s="83"/>
      <c r="I41" s="80">
        <f>E41+F41-H41</f>
        <v>46296</v>
      </c>
      <c r="J41" s="80">
        <v>18518.400000000001</v>
      </c>
      <c r="K41" s="80">
        <f>I41-J41</f>
        <v>27777.599999999999</v>
      </c>
    </row>
    <row r="42" spans="2:11" x14ac:dyDescent="0.25">
      <c r="B42" s="205"/>
      <c r="C42" s="206"/>
      <c r="D42" s="206"/>
      <c r="E42" s="80"/>
      <c r="F42" s="81"/>
      <c r="G42" s="86"/>
      <c r="H42" s="83"/>
      <c r="I42" s="80"/>
      <c r="J42" s="80"/>
      <c r="K42" s="82"/>
    </row>
    <row r="43" spans="2:11" ht="16.5" thickBot="1" x14ac:dyDescent="0.3">
      <c r="B43" s="205"/>
      <c r="C43" s="209" t="s">
        <v>271</v>
      </c>
      <c r="D43" s="209"/>
      <c r="E43" s="87">
        <f>SUM(E13:E42)</f>
        <v>20234092.649999999</v>
      </c>
      <c r="F43" s="88">
        <f>SUM(F13:F42)</f>
        <v>17899</v>
      </c>
      <c r="G43" s="89"/>
      <c r="H43" s="87">
        <f>SUM(H13:H42)</f>
        <v>0</v>
      </c>
      <c r="I43" s="87">
        <f>SUM(I13:I42)</f>
        <v>20251991.649999999</v>
      </c>
      <c r="J43" s="87">
        <f>SUM(J13:J42)</f>
        <v>43600.479999999996</v>
      </c>
      <c r="K43" s="87">
        <f>SUM(K13:K42)</f>
        <v>20208391.170000002</v>
      </c>
    </row>
    <row r="44" spans="2:11" ht="16.5" thickTop="1" x14ac:dyDescent="0.25">
      <c r="B44" s="210"/>
      <c r="C44" s="211"/>
      <c r="D44" s="211"/>
      <c r="E44" s="86"/>
      <c r="F44" s="90"/>
      <c r="G44" s="86"/>
      <c r="H44" s="91"/>
      <c r="I44" s="86"/>
      <c r="J44" s="86"/>
      <c r="K44" s="86"/>
    </row>
    <row r="45" spans="2:11" x14ac:dyDescent="0.25">
      <c r="E45" s="50"/>
      <c r="F45" s="50"/>
      <c r="G45" s="50"/>
      <c r="H45" s="50"/>
      <c r="I45" s="50"/>
      <c r="J45" s="50"/>
    </row>
    <row r="46" spans="2:11" x14ac:dyDescent="0.25">
      <c r="E46" s="50"/>
      <c r="F46" s="50"/>
      <c r="G46" s="50"/>
      <c r="H46" s="50"/>
      <c r="I46" s="50"/>
      <c r="J46" s="50"/>
    </row>
    <row r="47" spans="2:11" x14ac:dyDescent="0.25">
      <c r="E47" s="50"/>
      <c r="F47" s="50"/>
      <c r="G47" s="50"/>
      <c r="H47" s="50"/>
      <c r="I47" s="50"/>
      <c r="J47" s="50"/>
    </row>
  </sheetData>
  <mergeCells count="11">
    <mergeCell ref="B2:K2"/>
    <mergeCell ref="B9:B11"/>
    <mergeCell ref="C9:C11"/>
    <mergeCell ref="D9:D11"/>
    <mergeCell ref="E9:E11"/>
    <mergeCell ref="H9:H11"/>
    <mergeCell ref="I9:I11"/>
    <mergeCell ref="J9:J11"/>
    <mergeCell ref="K9:K11"/>
    <mergeCell ref="C4:K4"/>
    <mergeCell ref="F9:G11"/>
  </mergeCells>
  <phoneticPr fontId="0" type="noConversion"/>
  <pageMargins left="0.16" right="0.25" top="1" bottom="1" header="0.5" footer="0.5"/>
  <pageSetup scale="69" orientation="landscape"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73"/>
  <sheetViews>
    <sheetView tabSelected="1" view="pageBreakPreview" zoomScaleNormal="100" zoomScaleSheetLayoutView="100" workbookViewId="0">
      <selection activeCell="F70" sqref="F70"/>
    </sheetView>
  </sheetViews>
  <sheetFormatPr defaultColWidth="9.140625" defaultRowHeight="15.75" x14ac:dyDescent="0.25"/>
  <cols>
    <col min="1" max="1" width="3.7109375" style="45" customWidth="1"/>
    <col min="2" max="6" width="9.140625" style="45"/>
    <col min="7" max="7" width="12.7109375" style="50" customWidth="1"/>
    <col min="8" max="8" width="7.28515625" style="50" customWidth="1"/>
    <col min="9" max="9" width="16.85546875" style="50" bestFit="1" customWidth="1"/>
    <col min="10" max="10" width="18.7109375" style="45" bestFit="1" customWidth="1"/>
    <col min="11" max="11" width="17.5703125" style="45" bestFit="1" customWidth="1"/>
    <col min="12" max="12" width="17.85546875" style="45" bestFit="1" customWidth="1"/>
    <col min="13" max="13" width="16" style="45" bestFit="1" customWidth="1"/>
    <col min="14" max="14" width="16.85546875" style="45" bestFit="1" customWidth="1"/>
    <col min="15" max="16384" width="9.140625" style="45"/>
  </cols>
  <sheetData>
    <row r="1" spans="1:14" x14ac:dyDescent="0.25">
      <c r="A1" s="47" t="s">
        <v>146</v>
      </c>
      <c r="B1" s="1"/>
      <c r="D1" s="47" t="s">
        <v>50</v>
      </c>
      <c r="E1" s="1"/>
      <c r="F1" s="1"/>
      <c r="G1" s="51"/>
      <c r="H1" s="51"/>
      <c r="I1" s="51"/>
      <c r="J1" s="51"/>
      <c r="L1" s="50"/>
      <c r="M1" s="50"/>
      <c r="N1" s="50"/>
    </row>
    <row r="2" spans="1:14" x14ac:dyDescent="0.25">
      <c r="A2" s="47"/>
      <c r="B2" s="1"/>
      <c r="D2" s="47"/>
      <c r="E2" s="1"/>
      <c r="F2" s="1"/>
      <c r="G2" s="51"/>
      <c r="H2" s="51"/>
      <c r="I2" s="51"/>
      <c r="J2" s="51"/>
      <c r="L2" s="105">
        <v>2707250.65</v>
      </c>
      <c r="M2" s="50"/>
      <c r="N2" s="50"/>
    </row>
    <row r="3" spans="1:14" x14ac:dyDescent="0.25">
      <c r="A3" s="2" t="s">
        <v>637</v>
      </c>
      <c r="B3" s="1"/>
      <c r="C3" s="1"/>
      <c r="D3" s="1"/>
      <c r="E3" s="1"/>
      <c r="F3" s="1"/>
      <c r="I3" s="62" t="s">
        <v>275</v>
      </c>
      <c r="J3" s="62" t="s">
        <v>275</v>
      </c>
      <c r="L3" s="105">
        <v>33920.400000000001</v>
      </c>
      <c r="M3" s="50"/>
      <c r="N3" s="50"/>
    </row>
    <row r="4" spans="1:14" x14ac:dyDescent="0.25">
      <c r="B4" s="1"/>
      <c r="C4" s="1"/>
      <c r="D4" s="1"/>
      <c r="E4" s="1"/>
      <c r="F4" s="1"/>
      <c r="I4" s="51"/>
      <c r="J4" s="51"/>
      <c r="L4" s="105">
        <v>928683.02</v>
      </c>
      <c r="M4" s="50"/>
      <c r="N4" s="50"/>
    </row>
    <row r="5" spans="1:14" x14ac:dyDescent="0.25">
      <c r="B5" s="1"/>
      <c r="C5" s="1"/>
      <c r="D5" s="1"/>
      <c r="E5" s="1"/>
      <c r="F5" s="1"/>
      <c r="I5" s="51"/>
      <c r="J5" s="51"/>
      <c r="L5" s="105">
        <v>441302</v>
      </c>
      <c r="M5" s="50"/>
      <c r="N5" s="50"/>
    </row>
    <row r="6" spans="1:14" x14ac:dyDescent="0.25">
      <c r="A6" s="1"/>
      <c r="B6" s="2" t="s">
        <v>329</v>
      </c>
      <c r="C6" s="1"/>
      <c r="D6" s="1"/>
      <c r="E6" s="1"/>
      <c r="F6" s="1"/>
      <c r="I6" s="51"/>
      <c r="J6" s="51"/>
      <c r="L6" s="50">
        <f>SUM(L2:L5)</f>
        <v>4111156.07</v>
      </c>
      <c r="M6" s="50"/>
      <c r="N6" s="50">
        <f>L6-I7</f>
        <v>0</v>
      </c>
    </row>
    <row r="7" spans="1:14" x14ac:dyDescent="0.25">
      <c r="A7" s="47"/>
      <c r="B7" s="1" t="s">
        <v>75</v>
      </c>
      <c r="C7" s="1"/>
      <c r="D7" s="1"/>
      <c r="E7" s="1"/>
      <c r="F7" s="1"/>
      <c r="G7" s="49"/>
      <c r="I7" s="51">
        <v>4111156.07</v>
      </c>
      <c r="J7" s="51"/>
      <c r="K7" s="45">
        <v>5223162.07</v>
      </c>
    </row>
    <row r="8" spans="1:14" hidden="1" x14ac:dyDescent="0.25">
      <c r="A8" s="47"/>
      <c r="B8" s="1" t="s">
        <v>504</v>
      </c>
      <c r="C8" s="1"/>
      <c r="D8" s="1"/>
      <c r="E8" s="1"/>
      <c r="F8" s="1"/>
      <c r="G8" s="49"/>
      <c r="I8" s="51"/>
      <c r="J8" s="51"/>
      <c r="K8" s="51">
        <v>986338</v>
      </c>
    </row>
    <row r="9" spans="1:14" hidden="1" x14ac:dyDescent="0.25">
      <c r="A9" s="47"/>
      <c r="B9" s="1" t="s">
        <v>631</v>
      </c>
      <c r="C9" s="1"/>
      <c r="D9" s="1"/>
      <c r="E9" s="1"/>
      <c r="F9" s="1"/>
      <c r="G9" s="49"/>
      <c r="I9" s="51"/>
      <c r="J9" s="51"/>
      <c r="K9" s="51"/>
    </row>
    <row r="10" spans="1:14" x14ac:dyDescent="0.25">
      <c r="A10" s="47"/>
      <c r="B10" s="1" t="s">
        <v>631</v>
      </c>
      <c r="C10" s="1"/>
      <c r="D10" s="1"/>
      <c r="E10" s="1"/>
      <c r="F10" s="1"/>
      <c r="G10" s="49"/>
      <c r="I10" s="51">
        <v>85661</v>
      </c>
      <c r="J10" s="51"/>
      <c r="K10" s="51"/>
    </row>
    <row r="11" spans="1:14" x14ac:dyDescent="0.25">
      <c r="A11" s="47"/>
      <c r="B11" s="1" t="s">
        <v>548</v>
      </c>
      <c r="C11" s="1"/>
      <c r="D11" s="1"/>
      <c r="E11" s="1"/>
      <c r="F11" s="1"/>
      <c r="G11" s="49"/>
      <c r="I11" s="51">
        <v>824240.39</v>
      </c>
      <c r="J11" s="51"/>
      <c r="K11" s="51"/>
      <c r="L11" s="64">
        <f>J15-L6</f>
        <v>-3678116.83</v>
      </c>
      <c r="N11" s="45">
        <f>656825.28+175493.24</f>
        <v>832318.52</v>
      </c>
    </row>
    <row r="12" spans="1:14" x14ac:dyDescent="0.25">
      <c r="A12" s="47"/>
      <c r="B12" s="1"/>
      <c r="C12" s="1"/>
      <c r="D12" s="1"/>
      <c r="E12" s="1"/>
      <c r="F12" s="1"/>
      <c r="G12" s="49"/>
      <c r="I12" s="51"/>
      <c r="J12" s="51"/>
      <c r="K12" s="51"/>
      <c r="L12" s="43"/>
      <c r="N12" s="50"/>
    </row>
    <row r="13" spans="1:14" x14ac:dyDescent="0.25">
      <c r="A13" s="47"/>
      <c r="B13" s="1"/>
      <c r="C13" s="290" t="s">
        <v>330</v>
      </c>
      <c r="D13" s="290"/>
      <c r="E13" s="290"/>
      <c r="F13" s="290"/>
      <c r="G13" s="49"/>
      <c r="I13" s="52"/>
      <c r="J13" s="52">
        <f>I7+I9+I11+I10</f>
        <v>5021057.46</v>
      </c>
      <c r="L13" s="43"/>
    </row>
    <row r="14" spans="1:14" x14ac:dyDescent="0.25">
      <c r="A14" s="47"/>
      <c r="B14" s="1"/>
      <c r="C14" s="244"/>
      <c r="D14" s="244"/>
      <c r="E14" s="244"/>
      <c r="F14" s="244"/>
      <c r="G14" s="49"/>
      <c r="I14" s="51"/>
      <c r="J14" s="51"/>
      <c r="L14" s="43"/>
    </row>
    <row r="15" spans="1:14" x14ac:dyDescent="0.25">
      <c r="A15" s="47"/>
      <c r="B15" s="1" t="s">
        <v>584</v>
      </c>
      <c r="C15" s="48"/>
      <c r="D15" s="244"/>
      <c r="E15" s="244"/>
      <c r="F15" s="244"/>
      <c r="G15" s="49"/>
      <c r="I15" s="52"/>
      <c r="J15" s="65">
        <v>433039.24</v>
      </c>
      <c r="L15" s="43"/>
    </row>
    <row r="16" spans="1:14" x14ac:dyDescent="0.25">
      <c r="A16" s="47"/>
      <c r="B16" s="1"/>
      <c r="C16" s="1"/>
      <c r="D16" s="1"/>
      <c r="E16" s="1"/>
      <c r="F16" s="1"/>
      <c r="I16" s="51"/>
      <c r="J16" s="50"/>
      <c r="L16" s="43"/>
      <c r="M16" s="43"/>
      <c r="N16" s="64"/>
    </row>
    <row r="17" spans="1:12" x14ac:dyDescent="0.25">
      <c r="A17" s="47"/>
      <c r="B17" s="1"/>
      <c r="C17" s="1"/>
      <c r="D17" s="1"/>
      <c r="E17" s="1"/>
      <c r="F17" s="1"/>
      <c r="I17" s="51"/>
      <c r="J17" s="50"/>
      <c r="L17" s="43"/>
    </row>
    <row r="18" spans="1:12" hidden="1" x14ac:dyDescent="0.25">
      <c r="A18" s="47"/>
      <c r="B18" s="1" t="s">
        <v>380</v>
      </c>
      <c r="C18" s="1"/>
      <c r="D18" s="1"/>
      <c r="E18" s="1"/>
      <c r="F18" s="1"/>
      <c r="I18" s="51"/>
      <c r="J18" s="50"/>
      <c r="K18" s="50"/>
      <c r="L18" s="43"/>
    </row>
    <row r="19" spans="1:12" hidden="1" x14ac:dyDescent="0.25">
      <c r="A19" s="47"/>
      <c r="B19" s="1" t="s">
        <v>518</v>
      </c>
      <c r="C19" s="1"/>
      <c r="D19" s="1"/>
      <c r="E19" s="1"/>
      <c r="F19" s="1"/>
      <c r="I19" s="51"/>
      <c r="J19" s="105">
        <f>147600-122500-15200-9900</f>
        <v>0</v>
      </c>
      <c r="L19" s="43"/>
    </row>
    <row r="20" spans="1:12" hidden="1" x14ac:dyDescent="0.25">
      <c r="A20" s="47"/>
      <c r="B20" s="1" t="s">
        <v>368</v>
      </c>
      <c r="C20" s="1"/>
      <c r="D20" s="1"/>
      <c r="E20" s="1"/>
      <c r="F20" s="1"/>
      <c r="I20" s="51"/>
      <c r="J20" s="50"/>
      <c r="L20" s="43"/>
    </row>
    <row r="21" spans="1:12" hidden="1" x14ac:dyDescent="0.25">
      <c r="A21" s="47"/>
      <c r="B21" s="1"/>
      <c r="C21" s="1"/>
      <c r="D21" s="1"/>
      <c r="E21" s="1"/>
      <c r="F21" s="1"/>
      <c r="I21" s="51"/>
      <c r="J21" s="50"/>
      <c r="L21" s="43"/>
    </row>
    <row r="22" spans="1:12" hidden="1" x14ac:dyDescent="0.25">
      <c r="A22" s="47"/>
      <c r="B22" s="1"/>
      <c r="C22" s="1"/>
      <c r="D22" s="1"/>
      <c r="E22" s="1"/>
      <c r="F22" s="1"/>
      <c r="I22" s="51"/>
      <c r="J22" s="50"/>
      <c r="L22" s="43"/>
    </row>
    <row r="23" spans="1:12" x14ac:dyDescent="0.25">
      <c r="A23" s="47"/>
      <c r="B23" s="1"/>
      <c r="C23" s="1"/>
      <c r="D23" s="1"/>
      <c r="E23" s="1"/>
      <c r="F23" s="1"/>
      <c r="I23" s="51"/>
      <c r="J23" s="50"/>
      <c r="L23" s="43" t="e">
        <f>I7+#REF!+#REF!+#REF!+J35+#REF!+J37+J45+J49</f>
        <v>#REF!</v>
      </c>
    </row>
    <row r="24" spans="1:12" hidden="1" x14ac:dyDescent="0.25">
      <c r="A24" s="47"/>
      <c r="B24" s="1"/>
      <c r="C24" s="1"/>
      <c r="D24" s="1"/>
      <c r="E24" s="1"/>
      <c r="F24" s="1"/>
      <c r="I24" s="51"/>
      <c r="J24" s="51"/>
      <c r="L24" s="43"/>
    </row>
    <row r="25" spans="1:12" hidden="1" x14ac:dyDescent="0.25">
      <c r="A25" s="47"/>
      <c r="B25" s="1" t="s">
        <v>517</v>
      </c>
      <c r="C25" s="1"/>
      <c r="D25" s="1"/>
      <c r="E25" s="1"/>
      <c r="F25" s="1"/>
      <c r="I25" s="51"/>
      <c r="J25" s="51"/>
      <c r="L25" s="43"/>
    </row>
    <row r="26" spans="1:12" x14ac:dyDescent="0.25">
      <c r="A26" s="47"/>
      <c r="B26" s="1"/>
      <c r="C26" s="1"/>
      <c r="D26" s="1"/>
      <c r="E26" s="1"/>
      <c r="F26" s="1"/>
      <c r="I26" s="51"/>
      <c r="J26" s="51"/>
      <c r="L26" s="43"/>
    </row>
    <row r="27" spans="1:12" x14ac:dyDescent="0.25">
      <c r="A27" s="47"/>
      <c r="B27" s="1" t="s">
        <v>322</v>
      </c>
      <c r="C27" s="1"/>
      <c r="D27" s="1"/>
      <c r="E27" s="1"/>
      <c r="F27" s="1"/>
      <c r="I27" s="51"/>
      <c r="J27" s="51">
        <v>50000</v>
      </c>
    </row>
    <row r="28" spans="1:12" x14ac:dyDescent="0.25">
      <c r="A28" s="47"/>
      <c r="B28" s="1"/>
      <c r="C28" s="1"/>
      <c r="D28" s="1"/>
      <c r="E28" s="1"/>
      <c r="F28" s="1"/>
      <c r="I28" s="51"/>
      <c r="J28" s="51"/>
    </row>
    <row r="29" spans="1:12" x14ac:dyDescent="0.25">
      <c r="A29" s="47"/>
      <c r="B29" s="1" t="s">
        <v>529</v>
      </c>
      <c r="C29" s="1"/>
      <c r="D29" s="1"/>
      <c r="E29" s="1"/>
      <c r="F29" s="1"/>
      <c r="I29" s="51"/>
      <c r="J29" s="51">
        <f>3500</f>
        <v>3500</v>
      </c>
    </row>
    <row r="30" spans="1:12" x14ac:dyDescent="0.25">
      <c r="A30" s="47"/>
      <c r="B30" s="1"/>
      <c r="C30" s="1"/>
      <c r="D30" s="1"/>
      <c r="E30" s="1"/>
      <c r="F30" s="1"/>
      <c r="I30" s="51"/>
      <c r="J30" s="51"/>
    </row>
    <row r="31" spans="1:12" x14ac:dyDescent="0.25">
      <c r="A31" s="47"/>
      <c r="B31" s="1" t="s">
        <v>68</v>
      </c>
      <c r="C31" s="1"/>
      <c r="D31" s="1"/>
      <c r="E31" s="1"/>
      <c r="F31" s="1"/>
      <c r="I31" s="51"/>
      <c r="J31" s="51">
        <v>1000</v>
      </c>
    </row>
    <row r="32" spans="1:12" x14ac:dyDescent="0.25">
      <c r="A32" s="47"/>
      <c r="B32" s="1"/>
      <c r="C32" s="1"/>
      <c r="D32" s="1"/>
      <c r="E32" s="1"/>
      <c r="F32" s="1"/>
      <c r="I32" s="51"/>
      <c r="J32" s="51"/>
    </row>
    <row r="33" spans="1:14" x14ac:dyDescent="0.25">
      <c r="A33" s="47"/>
      <c r="B33" s="1" t="s">
        <v>89</v>
      </c>
      <c r="C33" s="1"/>
      <c r="D33" s="1"/>
      <c r="E33" s="1"/>
      <c r="F33" s="1"/>
      <c r="I33" s="51"/>
      <c r="J33" s="51">
        <v>1500</v>
      </c>
    </row>
    <row r="34" spans="1:14" hidden="1" x14ac:dyDescent="0.25">
      <c r="A34" s="47"/>
      <c r="B34" s="1"/>
      <c r="C34" s="1"/>
      <c r="D34" s="1"/>
      <c r="E34" s="1"/>
      <c r="F34" s="1"/>
      <c r="I34" s="51"/>
      <c r="J34" s="51"/>
    </row>
    <row r="35" spans="1:14" hidden="1" x14ac:dyDescent="0.25">
      <c r="A35" s="47"/>
      <c r="B35" s="1" t="s">
        <v>625</v>
      </c>
      <c r="C35" s="1"/>
      <c r="D35" s="1"/>
      <c r="E35" s="1"/>
      <c r="F35" s="1"/>
      <c r="I35" s="51"/>
      <c r="J35" s="93">
        <f>1749132.68-1749132.68</f>
        <v>0</v>
      </c>
    </row>
    <row r="36" spans="1:14" hidden="1" x14ac:dyDescent="0.25">
      <c r="A36" s="47"/>
      <c r="B36" s="1"/>
      <c r="C36" s="1"/>
      <c r="D36" s="1"/>
      <c r="E36" s="1"/>
      <c r="F36" s="1"/>
      <c r="I36" s="51"/>
      <c r="J36" s="93"/>
      <c r="L36" s="189">
        <f>J35+J49+L2+J45</f>
        <v>4059099.52</v>
      </c>
      <c r="M36" s="45">
        <f>50000+BalanceSheet!F27+BalanceSheet!F30</f>
        <v>87084.43</v>
      </c>
    </row>
    <row r="37" spans="1:14" hidden="1" x14ac:dyDescent="0.25">
      <c r="A37" s="47"/>
      <c r="B37" s="1" t="s">
        <v>585</v>
      </c>
      <c r="C37" s="1"/>
      <c r="D37" s="1"/>
      <c r="E37" s="1"/>
      <c r="F37" s="1"/>
      <c r="I37" s="51"/>
      <c r="J37" s="93"/>
      <c r="L37" s="189">
        <f>L36-M36</f>
        <v>3972015.09</v>
      </c>
    </row>
    <row r="38" spans="1:14" x14ac:dyDescent="0.25">
      <c r="A38" s="47"/>
      <c r="B38" s="1"/>
      <c r="C38" s="1"/>
      <c r="D38" s="1"/>
      <c r="E38" s="1"/>
      <c r="F38" s="1"/>
      <c r="I38" s="51"/>
      <c r="J38" s="93"/>
      <c r="L38" s="189"/>
    </row>
    <row r="39" spans="1:14" x14ac:dyDescent="0.25">
      <c r="A39" s="47"/>
      <c r="B39" s="1" t="s">
        <v>586</v>
      </c>
      <c r="C39" s="1"/>
      <c r="D39" s="1"/>
      <c r="E39" s="1"/>
      <c r="F39" s="1"/>
      <c r="I39" s="51"/>
      <c r="J39" s="93">
        <v>505600</v>
      </c>
      <c r="L39" s="189"/>
    </row>
    <row r="40" spans="1:14" x14ac:dyDescent="0.25">
      <c r="A40" s="47"/>
      <c r="B40" s="1"/>
      <c r="C40" s="1"/>
      <c r="D40" s="1"/>
      <c r="E40" s="1"/>
      <c r="F40" s="1"/>
      <c r="I40" s="51"/>
      <c r="J40" s="51"/>
      <c r="L40" s="64">
        <f>J27+J29+J30+J31+J33</f>
        <v>56000</v>
      </c>
      <c r="N40" s="45">
        <f>371135+265480+656825.28</f>
        <v>1293440.28</v>
      </c>
    </row>
    <row r="41" spans="1:14" x14ac:dyDescent="0.25">
      <c r="A41" s="47"/>
      <c r="B41" s="1" t="s">
        <v>623</v>
      </c>
      <c r="C41" s="1"/>
      <c r="D41" s="1"/>
      <c r="E41" s="1"/>
      <c r="F41" s="1"/>
      <c r="I41" s="51"/>
      <c r="J41" s="51">
        <v>59000</v>
      </c>
      <c r="L41" s="64"/>
    </row>
    <row r="42" spans="1:14" x14ac:dyDescent="0.25">
      <c r="A42" s="47"/>
      <c r="B42" s="1"/>
      <c r="C42" s="1"/>
      <c r="D42" s="1"/>
      <c r="E42" s="1"/>
      <c r="F42" s="1"/>
      <c r="I42" s="51"/>
      <c r="J42" s="51"/>
      <c r="L42" s="64"/>
    </row>
    <row r="43" spans="1:14" x14ac:dyDescent="0.25">
      <c r="A43" s="47"/>
      <c r="B43" s="1" t="s">
        <v>624</v>
      </c>
      <c r="C43" s="1"/>
      <c r="D43" s="1"/>
      <c r="E43" s="1"/>
      <c r="F43" s="1"/>
      <c r="I43" s="51"/>
      <c r="J43" s="51">
        <v>449900</v>
      </c>
      <c r="L43" s="64"/>
    </row>
    <row r="44" spans="1:14" x14ac:dyDescent="0.25">
      <c r="A44" s="47"/>
      <c r="B44" s="1"/>
      <c r="C44" s="1"/>
      <c r="D44" s="1"/>
      <c r="E44" s="1"/>
      <c r="F44" s="1"/>
      <c r="I44" s="51"/>
      <c r="J44" s="51"/>
      <c r="L44" s="64"/>
    </row>
    <row r="45" spans="1:14" x14ac:dyDescent="0.25">
      <c r="A45" s="186"/>
      <c r="B45" s="1" t="s">
        <v>69</v>
      </c>
      <c r="C45" s="1"/>
      <c r="D45" s="1"/>
      <c r="E45" s="1"/>
      <c r="F45" s="1"/>
      <c r="I45" s="51"/>
      <c r="J45" s="51">
        <v>304000</v>
      </c>
      <c r="L45" s="45">
        <f>BalanceSheet!N19</f>
        <v>0</v>
      </c>
    </row>
    <row r="46" spans="1:14" x14ac:dyDescent="0.25">
      <c r="A46" s="186"/>
      <c r="B46" s="1"/>
      <c r="C46" s="1"/>
      <c r="D46" s="1"/>
      <c r="E46" s="1"/>
      <c r="F46" s="1"/>
      <c r="I46" s="51"/>
      <c r="J46" s="51"/>
      <c r="L46" s="189">
        <f>J34</f>
        <v>0</v>
      </c>
    </row>
    <row r="47" spans="1:14" x14ac:dyDescent="0.25">
      <c r="A47" s="186"/>
      <c r="B47" s="1" t="s">
        <v>626</v>
      </c>
      <c r="C47" s="1"/>
      <c r="D47" s="1"/>
      <c r="E47" s="1"/>
      <c r="F47" s="1"/>
      <c r="I47" s="51"/>
      <c r="J47" s="51">
        <v>1550000</v>
      </c>
      <c r="L47" s="189"/>
    </row>
    <row r="48" spans="1:14" x14ac:dyDescent="0.25">
      <c r="A48" s="186"/>
      <c r="B48" s="1"/>
      <c r="C48" s="1"/>
      <c r="D48" s="1"/>
      <c r="E48" s="1"/>
      <c r="F48" s="1"/>
      <c r="I48" s="105"/>
      <c r="J48" s="51"/>
      <c r="L48" s="43">
        <f>441302+858730.4+928683.02</f>
        <v>2228715.42</v>
      </c>
    </row>
    <row r="49" spans="1:14" x14ac:dyDescent="0.25">
      <c r="A49" s="186"/>
      <c r="B49" s="1" t="s">
        <v>321</v>
      </c>
      <c r="C49" s="1"/>
      <c r="D49" s="1"/>
      <c r="E49" s="1"/>
      <c r="F49" s="1"/>
      <c r="I49" s="51"/>
      <c r="J49" s="51">
        <f>99523.28+230150.29+718175.3</f>
        <v>1047848.8700000001</v>
      </c>
      <c r="L49" s="43">
        <f>J66</f>
        <v>5789570.1600000057</v>
      </c>
    </row>
    <row r="50" spans="1:14" ht="16.5" thickBot="1" x14ac:dyDescent="0.3">
      <c r="A50" s="186"/>
      <c r="B50" s="1"/>
      <c r="C50" s="1"/>
      <c r="D50" s="1"/>
      <c r="E50" s="1"/>
      <c r="F50" s="1"/>
      <c r="G50" s="51"/>
      <c r="H50" s="51"/>
      <c r="L50" s="189">
        <f>L37+L40+L45+L46+L48+L49</f>
        <v>12046300.670000006</v>
      </c>
    </row>
    <row r="51" spans="1:14" ht="16.5" thickBot="1" x14ac:dyDescent="0.3">
      <c r="A51" s="268" t="s">
        <v>147</v>
      </c>
      <c r="B51" s="268"/>
      <c r="C51" s="268"/>
      <c r="D51" s="268"/>
      <c r="E51" s="268"/>
      <c r="F51" s="268"/>
      <c r="G51" s="268"/>
      <c r="H51" s="289"/>
      <c r="I51" s="289"/>
      <c r="J51" s="53">
        <f>SUM(J7:J50)</f>
        <v>9426445.5700000003</v>
      </c>
    </row>
    <row r="53" spans="1:14" x14ac:dyDescent="0.25">
      <c r="A53" s="47" t="s">
        <v>268</v>
      </c>
      <c r="B53" s="1"/>
      <c r="C53" s="1"/>
      <c r="D53" s="47" t="s">
        <v>51</v>
      </c>
      <c r="E53" s="1"/>
      <c r="F53" s="1"/>
      <c r="G53" s="1"/>
      <c r="H53" s="1"/>
      <c r="I53" s="54" t="s">
        <v>234</v>
      </c>
      <c r="J53" s="54" t="s">
        <v>234</v>
      </c>
    </row>
    <row r="54" spans="1:14" x14ac:dyDescent="0.25">
      <c r="A54" s="1"/>
      <c r="B54" s="1"/>
      <c r="C54" s="1"/>
      <c r="D54" s="1"/>
      <c r="E54" s="1"/>
      <c r="F54" s="1"/>
      <c r="G54" s="1"/>
      <c r="H54" s="1"/>
      <c r="I54" s="51"/>
      <c r="J54" s="51"/>
    </row>
    <row r="55" spans="1:14" x14ac:dyDescent="0.25">
      <c r="A55" s="2" t="s">
        <v>542</v>
      </c>
      <c r="B55" s="1"/>
      <c r="C55" s="1"/>
      <c r="D55" s="1"/>
      <c r="E55" s="1"/>
      <c r="F55" s="1"/>
      <c r="G55" s="1"/>
      <c r="H55" s="1"/>
      <c r="I55" s="51"/>
      <c r="J55" s="51"/>
    </row>
    <row r="56" spans="1:14" x14ac:dyDescent="0.25">
      <c r="A56" s="186"/>
      <c r="B56" s="1"/>
      <c r="C56" s="1"/>
      <c r="D56" s="1"/>
      <c r="E56" s="1"/>
      <c r="F56" s="1"/>
      <c r="G56" s="1"/>
      <c r="H56" s="1"/>
      <c r="I56" s="51"/>
      <c r="J56" s="51"/>
    </row>
    <row r="57" spans="1:14" x14ac:dyDescent="0.25">
      <c r="A57" s="186"/>
      <c r="B57" s="1" t="s">
        <v>161</v>
      </c>
      <c r="C57" s="1"/>
      <c r="D57" s="1"/>
      <c r="E57" s="1"/>
      <c r="F57" s="1"/>
      <c r="G57" s="1"/>
      <c r="H57" s="1"/>
      <c r="I57" s="51">
        <v>0</v>
      </c>
      <c r="J57" s="51">
        <f>I57</f>
        <v>0</v>
      </c>
      <c r="K57" s="189">
        <f>J66+J49+J47+J45+J43+J41+J39+J35+J33+J31+J29+J27+J13-BalanceSheet!F32-BalanceSheet!F31-BalanceSheet!F30+BalanceSheet!N38</f>
        <v>14746322.060000006</v>
      </c>
    </row>
    <row r="58" spans="1:14" x14ac:dyDescent="0.25">
      <c r="A58" s="186"/>
      <c r="B58" s="1"/>
      <c r="C58" s="1"/>
      <c r="D58" s="1"/>
      <c r="E58" s="1"/>
      <c r="F58" s="1"/>
      <c r="G58" s="1"/>
      <c r="H58" s="1"/>
      <c r="I58" s="51"/>
      <c r="J58" s="51"/>
      <c r="N58" s="45" t="s">
        <v>549</v>
      </c>
    </row>
    <row r="59" spans="1:14" hidden="1" x14ac:dyDescent="0.25">
      <c r="A59" s="186"/>
      <c r="B59" s="1" t="s">
        <v>52</v>
      </c>
      <c r="C59" s="1"/>
      <c r="D59" s="1"/>
      <c r="E59" s="1"/>
      <c r="F59" s="1"/>
      <c r="G59" s="1"/>
      <c r="H59" s="1"/>
      <c r="I59" s="51"/>
      <c r="J59" s="51"/>
    </row>
    <row r="60" spans="1:14" hidden="1" x14ac:dyDescent="0.25">
      <c r="A60" s="186"/>
      <c r="B60" s="1" t="s">
        <v>291</v>
      </c>
      <c r="D60" s="1"/>
      <c r="E60" s="1"/>
      <c r="F60" s="1"/>
      <c r="G60" s="1"/>
      <c r="H60" s="1"/>
      <c r="I60" s="51"/>
      <c r="J60" s="51"/>
      <c r="L60" s="245"/>
    </row>
    <row r="61" spans="1:14" hidden="1" x14ac:dyDescent="0.25">
      <c r="A61" s="186"/>
      <c r="B61" s="1" t="s">
        <v>230</v>
      </c>
      <c r="D61" s="1"/>
      <c r="E61" s="1"/>
      <c r="F61" s="1"/>
      <c r="G61" s="1"/>
      <c r="H61" s="1"/>
      <c r="I61" s="51"/>
      <c r="J61" s="51"/>
      <c r="K61" s="45">
        <v>5572546.96</v>
      </c>
      <c r="L61" s="45">
        <v>5598638.96</v>
      </c>
      <c r="M61" s="45">
        <f>K61-L61</f>
        <v>-26092</v>
      </c>
    </row>
    <row r="62" spans="1:14" hidden="1" x14ac:dyDescent="0.25">
      <c r="A62" s="186"/>
      <c r="B62" s="1" t="s">
        <v>295</v>
      </c>
      <c r="D62" s="1"/>
      <c r="E62" s="1"/>
      <c r="F62" s="1"/>
      <c r="G62" s="1"/>
      <c r="H62" s="1"/>
      <c r="I62" s="51"/>
      <c r="J62" s="51"/>
    </row>
    <row r="63" spans="1:14" x14ac:dyDescent="0.25">
      <c r="A63" s="186"/>
      <c r="B63" s="1" t="s">
        <v>96</v>
      </c>
      <c r="D63" s="1"/>
      <c r="E63" s="1"/>
      <c r="F63" s="1"/>
      <c r="G63" s="1"/>
      <c r="H63" s="1"/>
      <c r="I63" s="185">
        <f>743367.85+2603636.71-1895148.47</f>
        <v>1451856.09</v>
      </c>
      <c r="J63" s="51"/>
      <c r="N63" s="43"/>
    </row>
    <row r="64" spans="1:14" x14ac:dyDescent="0.25">
      <c r="A64" s="186"/>
      <c r="B64" s="1" t="s">
        <v>97</v>
      </c>
      <c r="D64" s="1"/>
      <c r="E64" s="1"/>
      <c r="F64" s="1"/>
      <c r="G64" s="1"/>
      <c r="H64" s="1"/>
      <c r="I64" s="51">
        <f>3619639.25+46826742.2-46673979.87+501720</f>
        <v>4274121.5800000057</v>
      </c>
      <c r="J64" s="51"/>
      <c r="K64" s="246"/>
      <c r="L64" s="64"/>
      <c r="N64" s="43"/>
    </row>
    <row r="65" spans="1:14" x14ac:dyDescent="0.25">
      <c r="A65" s="186"/>
      <c r="B65" s="1" t="s">
        <v>630</v>
      </c>
      <c r="D65" s="1"/>
      <c r="E65" s="1"/>
      <c r="F65" s="1"/>
      <c r="G65" s="1"/>
      <c r="H65" s="1"/>
      <c r="I65" s="51">
        <v>63592.49</v>
      </c>
      <c r="J65" s="51"/>
      <c r="K65" s="247"/>
      <c r="L65" s="64"/>
      <c r="N65" s="43"/>
    </row>
    <row r="66" spans="1:14" x14ac:dyDescent="0.25">
      <c r="A66" s="186"/>
      <c r="B66" s="1"/>
      <c r="D66" s="1"/>
      <c r="E66" s="1"/>
      <c r="F66" s="1"/>
      <c r="G66" s="1"/>
      <c r="H66" s="1"/>
      <c r="I66" s="50">
        <f>154888.9-154888.9</f>
        <v>0</v>
      </c>
      <c r="J66" s="51">
        <f>I63+I64+I65</f>
        <v>5789570.1600000057</v>
      </c>
      <c r="K66" s="43"/>
    </row>
    <row r="67" spans="1:14" ht="16.5" thickBot="1" x14ac:dyDescent="0.3">
      <c r="A67" s="1"/>
      <c r="B67" s="1"/>
      <c r="C67" s="1"/>
      <c r="D67" s="1"/>
      <c r="E67" s="1"/>
      <c r="F67" s="1"/>
      <c r="G67" s="1"/>
      <c r="H67" s="1"/>
      <c r="I67" s="51"/>
      <c r="J67" s="51"/>
      <c r="N67" s="64"/>
    </row>
    <row r="68" spans="1:14" ht="16.5" thickBot="1" x14ac:dyDescent="0.3">
      <c r="A68" s="268" t="s">
        <v>269</v>
      </c>
      <c r="B68" s="268"/>
      <c r="C68" s="268"/>
      <c r="D68" s="268"/>
      <c r="E68" s="268"/>
      <c r="F68" s="268"/>
      <c r="G68" s="268"/>
      <c r="H68" s="268"/>
      <c r="I68" s="268"/>
      <c r="J68" s="53">
        <f>SUM(J57:J66)</f>
        <v>5789570.1600000057</v>
      </c>
      <c r="K68" s="64"/>
      <c r="L68" s="189"/>
    </row>
    <row r="69" spans="1:14" x14ac:dyDescent="0.25">
      <c r="K69" s="43"/>
      <c r="L69" s="64"/>
      <c r="M69" s="45">
        <v>15466310.9</v>
      </c>
    </row>
    <row r="70" spans="1:14" x14ac:dyDescent="0.25">
      <c r="K70" s="189">
        <f>J68+BalanceSheet!N38+J51</f>
        <v>15216445.730000006</v>
      </c>
      <c r="M70" s="189">
        <f>M69-K70</f>
        <v>249865.16999999434</v>
      </c>
    </row>
    <row r="73" spans="1:14" x14ac:dyDescent="0.25">
      <c r="K73" s="64"/>
    </row>
  </sheetData>
  <mergeCells count="3">
    <mergeCell ref="A68:I68"/>
    <mergeCell ref="A51:I51"/>
    <mergeCell ref="C13:F13"/>
  </mergeCells>
  <phoneticPr fontId="2" type="noConversion"/>
  <printOptions horizontalCentered="1"/>
  <pageMargins left="0.16" right="0.21" top="1" bottom="1" header="0.5" footer="0.5"/>
  <pageSetup paperSize="9" scale="86" orientation="portrait" r:id="rId1"/>
  <headerFooter alignWithMargins="0">
    <oddFooter>Page &amp;P</oddFooter>
  </headerFooter>
  <rowBreaks count="1" manualBreakCount="1">
    <brk id="52"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430A1-F957-4306-BEF8-A262ABC24D6E}">
  <dimension ref="A2:K52"/>
  <sheetViews>
    <sheetView view="pageBreakPreview" zoomScale="60" zoomScaleNormal="100" workbookViewId="0">
      <selection activeCell="H51" sqref="H51:K51"/>
    </sheetView>
  </sheetViews>
  <sheetFormatPr defaultColWidth="9.140625" defaultRowHeight="25.5" x14ac:dyDescent="0.35"/>
  <cols>
    <col min="1" max="1" width="5.28515625" style="179" customWidth="1"/>
    <col min="2" max="4" width="9.140625" style="179"/>
    <col min="5" max="5" width="20.140625" style="179" customWidth="1"/>
    <col min="6" max="6" width="21.28515625" style="179" customWidth="1"/>
    <col min="7" max="7" width="35" style="179" customWidth="1"/>
    <col min="8" max="8" width="16.7109375" style="179" customWidth="1"/>
    <col min="9" max="9" width="22.85546875" style="179" customWidth="1"/>
    <col min="10" max="10" width="12.7109375" style="179" customWidth="1"/>
    <col min="11" max="11" width="7" style="179" customWidth="1"/>
    <col min="12" max="14" width="9.140625" style="179"/>
    <col min="15" max="15" width="22" style="179" customWidth="1"/>
    <col min="16" max="16384" width="9.140625" style="179"/>
  </cols>
  <sheetData>
    <row r="2" spans="1:6" x14ac:dyDescent="0.35">
      <c r="A2" s="178" t="s">
        <v>0</v>
      </c>
    </row>
    <row r="4" spans="1:6" x14ac:dyDescent="0.35">
      <c r="A4" s="178" t="s">
        <v>196</v>
      </c>
    </row>
    <row r="5" spans="1:6" x14ac:dyDescent="0.35">
      <c r="A5" s="178" t="s">
        <v>636</v>
      </c>
      <c r="B5" s="178"/>
    </row>
    <row r="7" spans="1:6" x14ac:dyDescent="0.35">
      <c r="A7" s="180" t="s">
        <v>197</v>
      </c>
    </row>
    <row r="9" spans="1:6" x14ac:dyDescent="0.35">
      <c r="A9" s="180" t="s">
        <v>198</v>
      </c>
      <c r="B9" s="180"/>
      <c r="C9" s="180"/>
      <c r="D9" s="180"/>
      <c r="E9" s="180"/>
      <c r="F9" s="180"/>
    </row>
    <row r="11" spans="1:6" x14ac:dyDescent="0.35">
      <c r="A11" s="181" t="s">
        <v>199</v>
      </c>
      <c r="B11" s="181"/>
      <c r="C11" s="181"/>
      <c r="D11" s="181"/>
      <c r="E11" s="181"/>
    </row>
    <row r="12" spans="1:6" x14ac:dyDescent="0.35">
      <c r="A12" s="181"/>
      <c r="B12" s="181"/>
      <c r="C12" s="181"/>
      <c r="D12" s="181"/>
      <c r="E12" s="181"/>
    </row>
    <row r="13" spans="1:6" x14ac:dyDescent="0.35">
      <c r="A13" s="178" t="s">
        <v>200</v>
      </c>
      <c r="B13" s="182"/>
      <c r="C13" s="182"/>
      <c r="D13" s="182"/>
      <c r="E13" s="182"/>
    </row>
    <row r="14" spans="1:6" x14ac:dyDescent="0.35">
      <c r="A14" s="179" t="s">
        <v>201</v>
      </c>
    </row>
    <row r="15" spans="1:6" x14ac:dyDescent="0.35">
      <c r="A15" s="179" t="s">
        <v>202</v>
      </c>
    </row>
    <row r="17" spans="1:5" x14ac:dyDescent="0.35">
      <c r="A17" s="178" t="s">
        <v>203</v>
      </c>
    </row>
    <row r="18" spans="1:5" x14ac:dyDescent="0.35">
      <c r="A18" s="178" t="s">
        <v>592</v>
      </c>
    </row>
    <row r="20" spans="1:5" x14ac:dyDescent="0.35">
      <c r="A20" s="178" t="s">
        <v>204</v>
      </c>
    </row>
    <row r="21" spans="1:5" x14ac:dyDescent="0.35">
      <c r="A21" s="179" t="s">
        <v>205</v>
      </c>
    </row>
    <row r="23" spans="1:5" x14ac:dyDescent="0.35">
      <c r="A23" s="178" t="s">
        <v>206</v>
      </c>
      <c r="B23" s="181"/>
      <c r="C23" s="181"/>
      <c r="D23" s="181"/>
      <c r="E23" s="181"/>
    </row>
    <row r="24" spans="1:5" x14ac:dyDescent="0.35">
      <c r="A24" s="179" t="s">
        <v>207</v>
      </c>
    </row>
    <row r="25" spans="1:5" x14ac:dyDescent="0.35">
      <c r="A25" s="179" t="s">
        <v>285</v>
      </c>
    </row>
    <row r="27" spans="1:5" x14ac:dyDescent="0.35">
      <c r="A27" s="178" t="s">
        <v>208</v>
      </c>
    </row>
    <row r="28" spans="1:5" x14ac:dyDescent="0.35">
      <c r="A28" s="179" t="s">
        <v>209</v>
      </c>
    </row>
    <row r="29" spans="1:5" x14ac:dyDescent="0.35">
      <c r="A29" s="179" t="s">
        <v>210</v>
      </c>
    </row>
    <row r="30" spans="1:5" x14ac:dyDescent="0.35">
      <c r="A30" s="179" t="s">
        <v>211</v>
      </c>
    </row>
    <row r="32" spans="1:5" x14ac:dyDescent="0.35">
      <c r="A32" s="178" t="s">
        <v>593</v>
      </c>
      <c r="B32" s="178" t="s">
        <v>594</v>
      </c>
    </row>
    <row r="33" spans="1:11" x14ac:dyDescent="0.35">
      <c r="B33" s="179" t="s">
        <v>596</v>
      </c>
    </row>
    <row r="35" spans="1:11" x14ac:dyDescent="0.35">
      <c r="A35" s="178" t="s">
        <v>595</v>
      </c>
    </row>
    <row r="36" spans="1:11" x14ac:dyDescent="0.35">
      <c r="B36" s="179" t="s">
        <v>233</v>
      </c>
    </row>
    <row r="38" spans="1:11" x14ac:dyDescent="0.35">
      <c r="A38" s="179" t="s">
        <v>212</v>
      </c>
    </row>
    <row r="39" spans="1:11" x14ac:dyDescent="0.35">
      <c r="A39" s="291" t="s">
        <v>213</v>
      </c>
      <c r="B39" s="291"/>
      <c r="C39" s="291"/>
      <c r="D39" s="291"/>
      <c r="E39" s="291"/>
      <c r="G39" s="291" t="s">
        <v>214</v>
      </c>
      <c r="H39" s="291"/>
      <c r="I39" s="291"/>
      <c r="J39" s="291"/>
      <c r="K39" s="291"/>
    </row>
    <row r="40" spans="1:11" x14ac:dyDescent="0.35">
      <c r="A40" s="291" t="s">
        <v>215</v>
      </c>
      <c r="B40" s="291"/>
      <c r="C40" s="291"/>
      <c r="D40" s="291"/>
      <c r="E40" s="291"/>
      <c r="G40" s="291" t="s">
        <v>216</v>
      </c>
      <c r="H40" s="291"/>
      <c r="I40" s="291"/>
      <c r="J40" s="291"/>
      <c r="K40" s="291"/>
    </row>
    <row r="41" spans="1:11" x14ac:dyDescent="0.35">
      <c r="A41" s="178"/>
      <c r="B41" s="178"/>
      <c r="C41" s="178"/>
      <c r="D41" s="178"/>
    </row>
    <row r="42" spans="1:11" x14ac:dyDescent="0.35">
      <c r="A42" s="178"/>
      <c r="B42" s="178"/>
      <c r="C42" s="178"/>
      <c r="D42" s="178"/>
    </row>
    <row r="43" spans="1:11" x14ac:dyDescent="0.35">
      <c r="A43" s="178"/>
      <c r="B43" s="178"/>
      <c r="C43" s="178"/>
      <c r="D43" s="178"/>
    </row>
    <row r="44" spans="1:11" x14ac:dyDescent="0.35">
      <c r="A44" s="291" t="s">
        <v>217</v>
      </c>
      <c r="B44" s="291"/>
      <c r="C44" s="291"/>
      <c r="D44" s="291"/>
      <c r="E44" s="291"/>
      <c r="F44" s="291"/>
      <c r="G44" s="291"/>
      <c r="H44" s="291"/>
      <c r="I44" s="291"/>
      <c r="J44" s="291"/>
    </row>
    <row r="45" spans="1:11" x14ac:dyDescent="0.35">
      <c r="A45" s="291" t="s">
        <v>218</v>
      </c>
      <c r="B45" s="291"/>
      <c r="C45" s="291"/>
      <c r="D45" s="291"/>
      <c r="E45" s="291"/>
      <c r="F45" s="291"/>
      <c r="G45" s="291"/>
      <c r="H45" s="291"/>
      <c r="I45" s="291"/>
      <c r="J45" s="291"/>
    </row>
    <row r="46" spans="1:11" x14ac:dyDescent="0.35">
      <c r="A46" s="291" t="s">
        <v>219</v>
      </c>
      <c r="B46" s="291"/>
      <c r="C46" s="291"/>
      <c r="D46" s="291"/>
      <c r="E46" s="291"/>
      <c r="F46" s="291" t="s">
        <v>633</v>
      </c>
      <c r="G46" s="291"/>
      <c r="H46" s="291" t="s">
        <v>634</v>
      </c>
      <c r="I46" s="291"/>
      <c r="J46" s="291"/>
      <c r="K46" s="178"/>
    </row>
    <row r="47" spans="1:11" x14ac:dyDescent="0.35">
      <c r="A47" s="178" t="s">
        <v>220</v>
      </c>
      <c r="B47" s="178"/>
      <c r="C47" s="178"/>
      <c r="D47" s="178"/>
      <c r="F47" s="291" t="s">
        <v>221</v>
      </c>
      <c r="G47" s="291"/>
      <c r="H47" s="291" t="s">
        <v>222</v>
      </c>
      <c r="I47" s="291"/>
      <c r="J47" s="291"/>
      <c r="K47" s="178"/>
    </row>
    <row r="48" spans="1:11" x14ac:dyDescent="0.35">
      <c r="A48" s="178" t="s">
        <v>640</v>
      </c>
      <c r="B48" s="178"/>
      <c r="C48" s="178"/>
      <c r="D48" s="178"/>
    </row>
    <row r="49" spans="1:11" x14ac:dyDescent="0.35">
      <c r="A49" s="178" t="s">
        <v>545</v>
      </c>
    </row>
    <row r="51" spans="1:11" x14ac:dyDescent="0.35">
      <c r="F51" s="291" t="s">
        <v>635</v>
      </c>
      <c r="G51" s="291"/>
      <c r="H51" s="291" t="s">
        <v>641</v>
      </c>
      <c r="I51" s="291"/>
      <c r="J51" s="291"/>
      <c r="K51" s="291"/>
    </row>
    <row r="52" spans="1:11" x14ac:dyDescent="0.35">
      <c r="F52" s="291" t="s">
        <v>223</v>
      </c>
      <c r="G52" s="291"/>
      <c r="H52" s="291"/>
      <c r="I52" s="291"/>
      <c r="J52" s="291"/>
      <c r="K52" s="291"/>
    </row>
  </sheetData>
  <mergeCells count="17">
    <mergeCell ref="F51:G51"/>
    <mergeCell ref="H51:K51"/>
    <mergeCell ref="F52:G52"/>
    <mergeCell ref="H52:K52"/>
    <mergeCell ref="A45:E45"/>
    <mergeCell ref="F45:J45"/>
    <mergeCell ref="A46:E46"/>
    <mergeCell ref="F46:G46"/>
    <mergeCell ref="H46:J46"/>
    <mergeCell ref="F47:G47"/>
    <mergeCell ref="H47:J47"/>
    <mergeCell ref="A39:E39"/>
    <mergeCell ref="G39:K39"/>
    <mergeCell ref="A40:E40"/>
    <mergeCell ref="G40:K40"/>
    <mergeCell ref="A44:E44"/>
    <mergeCell ref="F44:J44"/>
  </mergeCells>
  <pageMargins left="0.7" right="0.7" top="0.75" bottom="0.75" header="0.3" footer="0.3"/>
  <pageSetup paperSize="9" scale="5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731B4-43C9-4B2E-A42B-4AE7175C6105}">
  <dimension ref="A5:I20"/>
  <sheetViews>
    <sheetView topLeftCell="A7" workbookViewId="0">
      <selection activeCell="F22" sqref="F22"/>
    </sheetView>
  </sheetViews>
  <sheetFormatPr defaultRowHeight="12.75" x14ac:dyDescent="0.2"/>
  <cols>
    <col min="1" max="1" width="5.140625" style="119" customWidth="1"/>
    <col min="2" max="2" width="29.85546875" style="120" bestFit="1" customWidth="1"/>
    <col min="3" max="3" width="23.28515625" style="120" customWidth="1"/>
    <col min="4" max="9" width="9.140625" style="120"/>
    <col min="10" max="256" width="9.140625" style="119"/>
    <col min="257" max="257" width="5.140625" style="119" customWidth="1"/>
    <col min="258" max="258" width="29.85546875" style="119" bestFit="1" customWidth="1"/>
    <col min="259" max="259" width="23.28515625" style="119" customWidth="1"/>
    <col min="260" max="512" width="9.140625" style="119"/>
    <col min="513" max="513" width="5.140625" style="119" customWidth="1"/>
    <col min="514" max="514" width="29.85546875" style="119" bestFit="1" customWidth="1"/>
    <col min="515" max="515" width="23.28515625" style="119" customWidth="1"/>
    <col min="516" max="768" width="9.140625" style="119"/>
    <col min="769" max="769" width="5.140625" style="119" customWidth="1"/>
    <col min="770" max="770" width="29.85546875" style="119" bestFit="1" customWidth="1"/>
    <col min="771" max="771" width="23.28515625" style="119" customWidth="1"/>
    <col min="772" max="1024" width="9.140625" style="119"/>
    <col min="1025" max="1025" width="5.140625" style="119" customWidth="1"/>
    <col min="1026" max="1026" width="29.85546875" style="119" bestFit="1" customWidth="1"/>
    <col min="1027" max="1027" width="23.28515625" style="119" customWidth="1"/>
    <col min="1028" max="1280" width="9.140625" style="119"/>
    <col min="1281" max="1281" width="5.140625" style="119" customWidth="1"/>
    <col min="1282" max="1282" width="29.85546875" style="119" bestFit="1" customWidth="1"/>
    <col min="1283" max="1283" width="23.28515625" style="119" customWidth="1"/>
    <col min="1284" max="1536" width="9.140625" style="119"/>
    <col min="1537" max="1537" width="5.140625" style="119" customWidth="1"/>
    <col min="1538" max="1538" width="29.85546875" style="119" bestFit="1" customWidth="1"/>
    <col min="1539" max="1539" width="23.28515625" style="119" customWidth="1"/>
    <col min="1540" max="1792" width="9.140625" style="119"/>
    <col min="1793" max="1793" width="5.140625" style="119" customWidth="1"/>
    <col min="1794" max="1794" width="29.85546875" style="119" bestFit="1" customWidth="1"/>
    <col min="1795" max="1795" width="23.28515625" style="119" customWidth="1"/>
    <col min="1796" max="2048" width="9.140625" style="119"/>
    <col min="2049" max="2049" width="5.140625" style="119" customWidth="1"/>
    <col min="2050" max="2050" width="29.85546875" style="119" bestFit="1" customWidth="1"/>
    <col min="2051" max="2051" width="23.28515625" style="119" customWidth="1"/>
    <col min="2052" max="2304" width="9.140625" style="119"/>
    <col min="2305" max="2305" width="5.140625" style="119" customWidth="1"/>
    <col min="2306" max="2306" width="29.85546875" style="119" bestFit="1" customWidth="1"/>
    <col min="2307" max="2307" width="23.28515625" style="119" customWidth="1"/>
    <col min="2308" max="2560" width="9.140625" style="119"/>
    <col min="2561" max="2561" width="5.140625" style="119" customWidth="1"/>
    <col min="2562" max="2562" width="29.85546875" style="119" bestFit="1" customWidth="1"/>
    <col min="2563" max="2563" width="23.28515625" style="119" customWidth="1"/>
    <col min="2564" max="2816" width="9.140625" style="119"/>
    <col min="2817" max="2817" width="5.140625" style="119" customWidth="1"/>
    <col min="2818" max="2818" width="29.85546875" style="119" bestFit="1" customWidth="1"/>
    <col min="2819" max="2819" width="23.28515625" style="119" customWidth="1"/>
    <col min="2820" max="3072" width="9.140625" style="119"/>
    <col min="3073" max="3073" width="5.140625" style="119" customWidth="1"/>
    <col min="3074" max="3074" width="29.85546875" style="119" bestFit="1" customWidth="1"/>
    <col min="3075" max="3075" width="23.28515625" style="119" customWidth="1"/>
    <col min="3076" max="3328" width="9.140625" style="119"/>
    <col min="3329" max="3329" width="5.140625" style="119" customWidth="1"/>
    <col min="3330" max="3330" width="29.85546875" style="119" bestFit="1" customWidth="1"/>
    <col min="3331" max="3331" width="23.28515625" style="119" customWidth="1"/>
    <col min="3332" max="3584" width="9.140625" style="119"/>
    <col min="3585" max="3585" width="5.140625" style="119" customWidth="1"/>
    <col min="3586" max="3586" width="29.85546875" style="119" bestFit="1" customWidth="1"/>
    <col min="3587" max="3587" width="23.28515625" style="119" customWidth="1"/>
    <col min="3588" max="3840" width="9.140625" style="119"/>
    <col min="3841" max="3841" width="5.140625" style="119" customWidth="1"/>
    <col min="3842" max="3842" width="29.85546875" style="119" bestFit="1" customWidth="1"/>
    <col min="3843" max="3843" width="23.28515625" style="119" customWidth="1"/>
    <col min="3844" max="4096" width="9.140625" style="119"/>
    <col min="4097" max="4097" width="5.140625" style="119" customWidth="1"/>
    <col min="4098" max="4098" width="29.85546875" style="119" bestFit="1" customWidth="1"/>
    <col min="4099" max="4099" width="23.28515625" style="119" customWidth="1"/>
    <col min="4100" max="4352" width="9.140625" style="119"/>
    <col min="4353" max="4353" width="5.140625" style="119" customWidth="1"/>
    <col min="4354" max="4354" width="29.85546875" style="119" bestFit="1" customWidth="1"/>
    <col min="4355" max="4355" width="23.28515625" style="119" customWidth="1"/>
    <col min="4356" max="4608" width="9.140625" style="119"/>
    <col min="4609" max="4609" width="5.140625" style="119" customWidth="1"/>
    <col min="4610" max="4610" width="29.85546875" style="119" bestFit="1" customWidth="1"/>
    <col min="4611" max="4611" width="23.28515625" style="119" customWidth="1"/>
    <col min="4612" max="4864" width="9.140625" style="119"/>
    <col min="4865" max="4865" width="5.140625" style="119" customWidth="1"/>
    <col min="4866" max="4866" width="29.85546875" style="119" bestFit="1" customWidth="1"/>
    <col min="4867" max="4867" width="23.28515625" style="119" customWidth="1"/>
    <col min="4868" max="5120" width="9.140625" style="119"/>
    <col min="5121" max="5121" width="5.140625" style="119" customWidth="1"/>
    <col min="5122" max="5122" width="29.85546875" style="119" bestFit="1" customWidth="1"/>
    <col min="5123" max="5123" width="23.28515625" style="119" customWidth="1"/>
    <col min="5124" max="5376" width="9.140625" style="119"/>
    <col min="5377" max="5377" width="5.140625" style="119" customWidth="1"/>
    <col min="5378" max="5378" width="29.85546875" style="119" bestFit="1" customWidth="1"/>
    <col min="5379" max="5379" width="23.28515625" style="119" customWidth="1"/>
    <col min="5380" max="5632" width="9.140625" style="119"/>
    <col min="5633" max="5633" width="5.140625" style="119" customWidth="1"/>
    <col min="5634" max="5634" width="29.85546875" style="119" bestFit="1" customWidth="1"/>
    <col min="5635" max="5635" width="23.28515625" style="119" customWidth="1"/>
    <col min="5636" max="5888" width="9.140625" style="119"/>
    <col min="5889" max="5889" width="5.140625" style="119" customWidth="1"/>
    <col min="5890" max="5890" width="29.85546875" style="119" bestFit="1" customWidth="1"/>
    <col min="5891" max="5891" width="23.28515625" style="119" customWidth="1"/>
    <col min="5892" max="6144" width="9.140625" style="119"/>
    <col min="6145" max="6145" width="5.140625" style="119" customWidth="1"/>
    <col min="6146" max="6146" width="29.85546875" style="119" bestFit="1" customWidth="1"/>
    <col min="6147" max="6147" width="23.28515625" style="119" customWidth="1"/>
    <col min="6148" max="6400" width="9.140625" style="119"/>
    <col min="6401" max="6401" width="5.140625" style="119" customWidth="1"/>
    <col min="6402" max="6402" width="29.85546875" style="119" bestFit="1" customWidth="1"/>
    <col min="6403" max="6403" width="23.28515625" style="119" customWidth="1"/>
    <col min="6404" max="6656" width="9.140625" style="119"/>
    <col min="6657" max="6657" width="5.140625" style="119" customWidth="1"/>
    <col min="6658" max="6658" width="29.85546875" style="119" bestFit="1" customWidth="1"/>
    <col min="6659" max="6659" width="23.28515625" style="119" customWidth="1"/>
    <col min="6660" max="6912" width="9.140625" style="119"/>
    <col min="6913" max="6913" width="5.140625" style="119" customWidth="1"/>
    <col min="6914" max="6914" width="29.85546875" style="119" bestFit="1" customWidth="1"/>
    <col min="6915" max="6915" width="23.28515625" style="119" customWidth="1"/>
    <col min="6916" max="7168" width="9.140625" style="119"/>
    <col min="7169" max="7169" width="5.140625" style="119" customWidth="1"/>
    <col min="7170" max="7170" width="29.85546875" style="119" bestFit="1" customWidth="1"/>
    <col min="7171" max="7171" width="23.28515625" style="119" customWidth="1"/>
    <col min="7172" max="7424" width="9.140625" style="119"/>
    <col min="7425" max="7425" width="5.140625" style="119" customWidth="1"/>
    <col min="7426" max="7426" width="29.85546875" style="119" bestFit="1" customWidth="1"/>
    <col min="7427" max="7427" width="23.28515625" style="119" customWidth="1"/>
    <col min="7428" max="7680" width="9.140625" style="119"/>
    <col min="7681" max="7681" width="5.140625" style="119" customWidth="1"/>
    <col min="7682" max="7682" width="29.85546875" style="119" bestFit="1" customWidth="1"/>
    <col min="7683" max="7683" width="23.28515625" style="119" customWidth="1"/>
    <col min="7684" max="7936" width="9.140625" style="119"/>
    <col min="7937" max="7937" width="5.140625" style="119" customWidth="1"/>
    <col min="7938" max="7938" width="29.85546875" style="119" bestFit="1" customWidth="1"/>
    <col min="7939" max="7939" width="23.28515625" style="119" customWidth="1"/>
    <col min="7940" max="8192" width="9.140625" style="119"/>
    <col min="8193" max="8193" width="5.140625" style="119" customWidth="1"/>
    <col min="8194" max="8194" width="29.85546875" style="119" bestFit="1" customWidth="1"/>
    <col min="8195" max="8195" width="23.28515625" style="119" customWidth="1"/>
    <col min="8196" max="8448" width="9.140625" style="119"/>
    <col min="8449" max="8449" width="5.140625" style="119" customWidth="1"/>
    <col min="8450" max="8450" width="29.85546875" style="119" bestFit="1" customWidth="1"/>
    <col min="8451" max="8451" width="23.28515625" style="119" customWidth="1"/>
    <col min="8452" max="8704" width="9.140625" style="119"/>
    <col min="8705" max="8705" width="5.140625" style="119" customWidth="1"/>
    <col min="8706" max="8706" width="29.85546875" style="119" bestFit="1" customWidth="1"/>
    <col min="8707" max="8707" width="23.28515625" style="119" customWidth="1"/>
    <col min="8708" max="8960" width="9.140625" style="119"/>
    <col min="8961" max="8961" width="5.140625" style="119" customWidth="1"/>
    <col min="8962" max="8962" width="29.85546875" style="119" bestFit="1" customWidth="1"/>
    <col min="8963" max="8963" width="23.28515625" style="119" customWidth="1"/>
    <col min="8964" max="9216" width="9.140625" style="119"/>
    <col min="9217" max="9217" width="5.140625" style="119" customWidth="1"/>
    <col min="9218" max="9218" width="29.85546875" style="119" bestFit="1" customWidth="1"/>
    <col min="9219" max="9219" width="23.28515625" style="119" customWidth="1"/>
    <col min="9220" max="9472" width="9.140625" style="119"/>
    <col min="9473" max="9473" width="5.140625" style="119" customWidth="1"/>
    <col min="9474" max="9474" width="29.85546875" style="119" bestFit="1" customWidth="1"/>
    <col min="9475" max="9475" width="23.28515625" style="119" customWidth="1"/>
    <col min="9476" max="9728" width="9.140625" style="119"/>
    <col min="9729" max="9729" width="5.140625" style="119" customWidth="1"/>
    <col min="9730" max="9730" width="29.85546875" style="119" bestFit="1" customWidth="1"/>
    <col min="9731" max="9731" width="23.28515625" style="119" customWidth="1"/>
    <col min="9732" max="9984" width="9.140625" style="119"/>
    <col min="9985" max="9985" width="5.140625" style="119" customWidth="1"/>
    <col min="9986" max="9986" width="29.85546875" style="119" bestFit="1" customWidth="1"/>
    <col min="9987" max="9987" width="23.28515625" style="119" customWidth="1"/>
    <col min="9988" max="10240" width="9.140625" style="119"/>
    <col min="10241" max="10241" width="5.140625" style="119" customWidth="1"/>
    <col min="10242" max="10242" width="29.85546875" style="119" bestFit="1" customWidth="1"/>
    <col min="10243" max="10243" width="23.28515625" style="119" customWidth="1"/>
    <col min="10244" max="10496" width="9.140625" style="119"/>
    <col min="10497" max="10497" width="5.140625" style="119" customWidth="1"/>
    <col min="10498" max="10498" width="29.85546875" style="119" bestFit="1" customWidth="1"/>
    <col min="10499" max="10499" width="23.28515625" style="119" customWidth="1"/>
    <col min="10500" max="10752" width="9.140625" style="119"/>
    <col min="10753" max="10753" width="5.140625" style="119" customWidth="1"/>
    <col min="10754" max="10754" width="29.85546875" style="119" bestFit="1" customWidth="1"/>
    <col min="10755" max="10755" width="23.28515625" style="119" customWidth="1"/>
    <col min="10756" max="11008" width="9.140625" style="119"/>
    <col min="11009" max="11009" width="5.140625" style="119" customWidth="1"/>
    <col min="11010" max="11010" width="29.85546875" style="119" bestFit="1" customWidth="1"/>
    <col min="11011" max="11011" width="23.28515625" style="119" customWidth="1"/>
    <col min="11012" max="11264" width="9.140625" style="119"/>
    <col min="11265" max="11265" width="5.140625" style="119" customWidth="1"/>
    <col min="11266" max="11266" width="29.85546875" style="119" bestFit="1" customWidth="1"/>
    <col min="11267" max="11267" width="23.28515625" style="119" customWidth="1"/>
    <col min="11268" max="11520" width="9.140625" style="119"/>
    <col min="11521" max="11521" width="5.140625" style="119" customWidth="1"/>
    <col min="11522" max="11522" width="29.85546875" style="119" bestFit="1" customWidth="1"/>
    <col min="11523" max="11523" width="23.28515625" style="119" customWidth="1"/>
    <col min="11524" max="11776" width="9.140625" style="119"/>
    <col min="11777" max="11777" width="5.140625" style="119" customWidth="1"/>
    <col min="11778" max="11778" width="29.85546875" style="119" bestFit="1" customWidth="1"/>
    <col min="11779" max="11779" width="23.28515625" style="119" customWidth="1"/>
    <col min="11780" max="12032" width="9.140625" style="119"/>
    <col min="12033" max="12033" width="5.140625" style="119" customWidth="1"/>
    <col min="12034" max="12034" width="29.85546875" style="119" bestFit="1" customWidth="1"/>
    <col min="12035" max="12035" width="23.28515625" style="119" customWidth="1"/>
    <col min="12036" max="12288" width="9.140625" style="119"/>
    <col min="12289" max="12289" width="5.140625" style="119" customWidth="1"/>
    <col min="12290" max="12290" width="29.85546875" style="119" bestFit="1" customWidth="1"/>
    <col min="12291" max="12291" width="23.28515625" style="119" customWidth="1"/>
    <col min="12292" max="12544" width="9.140625" style="119"/>
    <col min="12545" max="12545" width="5.140625" style="119" customWidth="1"/>
    <col min="12546" max="12546" width="29.85546875" style="119" bestFit="1" customWidth="1"/>
    <col min="12547" max="12547" width="23.28515625" style="119" customWidth="1"/>
    <col min="12548" max="12800" width="9.140625" style="119"/>
    <col min="12801" max="12801" width="5.140625" style="119" customWidth="1"/>
    <col min="12802" max="12802" width="29.85546875" style="119" bestFit="1" customWidth="1"/>
    <col min="12803" max="12803" width="23.28515625" style="119" customWidth="1"/>
    <col min="12804" max="13056" width="9.140625" style="119"/>
    <col min="13057" max="13057" width="5.140625" style="119" customWidth="1"/>
    <col min="13058" max="13058" width="29.85546875" style="119" bestFit="1" customWidth="1"/>
    <col min="13059" max="13059" width="23.28515625" style="119" customWidth="1"/>
    <col min="13060" max="13312" width="9.140625" style="119"/>
    <col min="13313" max="13313" width="5.140625" style="119" customWidth="1"/>
    <col min="13314" max="13314" width="29.85546875" style="119" bestFit="1" customWidth="1"/>
    <col min="13315" max="13315" width="23.28515625" style="119" customWidth="1"/>
    <col min="13316" max="13568" width="9.140625" style="119"/>
    <col min="13569" max="13569" width="5.140625" style="119" customWidth="1"/>
    <col min="13570" max="13570" width="29.85546875" style="119" bestFit="1" customWidth="1"/>
    <col min="13571" max="13571" width="23.28515625" style="119" customWidth="1"/>
    <col min="13572" max="13824" width="9.140625" style="119"/>
    <col min="13825" max="13825" width="5.140625" style="119" customWidth="1"/>
    <col min="13826" max="13826" width="29.85546875" style="119" bestFit="1" customWidth="1"/>
    <col min="13827" max="13827" width="23.28515625" style="119" customWidth="1"/>
    <col min="13828" max="14080" width="9.140625" style="119"/>
    <col min="14081" max="14081" width="5.140625" style="119" customWidth="1"/>
    <col min="14082" max="14082" width="29.85546875" style="119" bestFit="1" customWidth="1"/>
    <col min="14083" max="14083" width="23.28515625" style="119" customWidth="1"/>
    <col min="14084" max="14336" width="9.140625" style="119"/>
    <col min="14337" max="14337" width="5.140625" style="119" customWidth="1"/>
    <col min="14338" max="14338" width="29.85546875" style="119" bestFit="1" customWidth="1"/>
    <col min="14339" max="14339" width="23.28515625" style="119" customWidth="1"/>
    <col min="14340" max="14592" width="9.140625" style="119"/>
    <col min="14593" max="14593" width="5.140625" style="119" customWidth="1"/>
    <col min="14594" max="14594" width="29.85546875" style="119" bestFit="1" customWidth="1"/>
    <col min="14595" max="14595" width="23.28515625" style="119" customWidth="1"/>
    <col min="14596" max="14848" width="9.140625" style="119"/>
    <col min="14849" max="14849" width="5.140625" style="119" customWidth="1"/>
    <col min="14850" max="14850" width="29.85546875" style="119" bestFit="1" customWidth="1"/>
    <col min="14851" max="14851" width="23.28515625" style="119" customWidth="1"/>
    <col min="14852" max="15104" width="9.140625" style="119"/>
    <col min="15105" max="15105" width="5.140625" style="119" customWidth="1"/>
    <col min="15106" max="15106" width="29.85546875" style="119" bestFit="1" customWidth="1"/>
    <col min="15107" max="15107" width="23.28515625" style="119" customWidth="1"/>
    <col min="15108" max="15360" width="9.140625" style="119"/>
    <col min="15361" max="15361" width="5.140625" style="119" customWidth="1"/>
    <col min="15362" max="15362" width="29.85546875" style="119" bestFit="1" customWidth="1"/>
    <col min="15363" max="15363" width="23.28515625" style="119" customWidth="1"/>
    <col min="15364" max="15616" width="9.140625" style="119"/>
    <col min="15617" max="15617" width="5.140625" style="119" customWidth="1"/>
    <col min="15618" max="15618" width="29.85546875" style="119" bestFit="1" customWidth="1"/>
    <col min="15619" max="15619" width="23.28515625" style="119" customWidth="1"/>
    <col min="15620" max="15872" width="9.140625" style="119"/>
    <col min="15873" max="15873" width="5.140625" style="119" customWidth="1"/>
    <col min="15874" max="15874" width="29.85546875" style="119" bestFit="1" customWidth="1"/>
    <col min="15875" max="15875" width="23.28515625" style="119" customWidth="1"/>
    <col min="15876" max="16128" width="9.140625" style="119"/>
    <col min="16129" max="16129" width="5.140625" style="119" customWidth="1"/>
    <col min="16130" max="16130" width="29.85546875" style="119" bestFit="1" customWidth="1"/>
    <col min="16131" max="16131" width="23.28515625" style="119" customWidth="1"/>
    <col min="16132" max="16384" width="9.140625" style="119"/>
  </cols>
  <sheetData>
    <row r="5" spans="1:3" x14ac:dyDescent="0.2">
      <c r="B5" s="119" t="s">
        <v>560</v>
      </c>
      <c r="C5" s="120">
        <v>3675652</v>
      </c>
    </row>
    <row r="9" spans="1:3" x14ac:dyDescent="0.2">
      <c r="B9" s="120" t="s">
        <v>561</v>
      </c>
    </row>
    <row r="10" spans="1:3" x14ac:dyDescent="0.2">
      <c r="A10" s="121" t="s">
        <v>562</v>
      </c>
      <c r="B10" s="120" t="s">
        <v>563</v>
      </c>
      <c r="C10" s="120">
        <v>48466412.460000001</v>
      </c>
    </row>
    <row r="11" spans="1:3" x14ac:dyDescent="0.2">
      <c r="B11" s="120" t="s">
        <v>564</v>
      </c>
      <c r="C11" s="120">
        <v>5277269.22</v>
      </c>
    </row>
    <row r="12" spans="1:3" x14ac:dyDescent="0.2">
      <c r="B12" s="120" t="s">
        <v>565</v>
      </c>
      <c r="C12" s="120">
        <v>20306393.050000001</v>
      </c>
    </row>
    <row r="14" spans="1:3" x14ac:dyDescent="0.2">
      <c r="B14" s="120" t="s">
        <v>566</v>
      </c>
      <c r="C14" s="120">
        <f>C10+C11-C12</f>
        <v>33437288.629999999</v>
      </c>
    </row>
    <row r="16" spans="1:3" x14ac:dyDescent="0.2">
      <c r="A16" s="121" t="s">
        <v>567</v>
      </c>
      <c r="B16" s="120" t="s">
        <v>568</v>
      </c>
      <c r="C16" s="120">
        <v>39407281.799999997</v>
      </c>
    </row>
    <row r="18" spans="2:3" x14ac:dyDescent="0.2">
      <c r="B18" s="122" t="s">
        <v>569</v>
      </c>
      <c r="C18" s="120">
        <f>C14+C16</f>
        <v>72844570.429999992</v>
      </c>
    </row>
    <row r="20" spans="2:3" x14ac:dyDescent="0.2">
      <c r="B20" s="120" t="s">
        <v>570</v>
      </c>
      <c r="C20" s="120">
        <f>C5/C18*100</f>
        <v>5.0458832803909779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A548E-B9D4-49AF-8ADB-4D1E6FE4649B}">
  <dimension ref="E8:F8"/>
  <sheetViews>
    <sheetView workbookViewId="0">
      <selection activeCell="F8" sqref="F8"/>
    </sheetView>
  </sheetViews>
  <sheetFormatPr defaultRowHeight="12.75" x14ac:dyDescent="0.2"/>
  <sheetData>
    <row r="8" spans="5:6" x14ac:dyDescent="0.2">
      <c r="E8">
        <v>11976.71</v>
      </c>
      <c r="F8">
        <f>E8*5.8%</f>
        <v>694.64917999999989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K49"/>
  <sheetViews>
    <sheetView view="pageBreakPreview" topLeftCell="A31" zoomScaleNormal="100" zoomScaleSheetLayoutView="100" workbookViewId="0">
      <selection activeCell="H49" sqref="H49:K49"/>
    </sheetView>
  </sheetViews>
  <sheetFormatPr defaultColWidth="9.140625" defaultRowHeight="15.75" x14ac:dyDescent="0.25"/>
  <cols>
    <col min="1" max="1" width="5.28515625" style="45" customWidth="1"/>
    <col min="2" max="4" width="9.140625" style="45"/>
    <col min="5" max="5" width="7.7109375" style="45" customWidth="1"/>
    <col min="6" max="6" width="9.140625" style="45"/>
    <col min="7" max="7" width="21.42578125" style="45" customWidth="1"/>
    <col min="8" max="8" width="9.140625" style="45"/>
    <col min="9" max="9" width="11" style="45" customWidth="1"/>
    <col min="10" max="10" width="12.7109375" style="45" customWidth="1"/>
    <col min="11" max="11" width="7" style="45" customWidth="1"/>
    <col min="12" max="16384" width="9.140625" style="45"/>
  </cols>
  <sheetData>
    <row r="2" spans="1:6" x14ac:dyDescent="0.25">
      <c r="A2" s="56" t="s">
        <v>0</v>
      </c>
    </row>
    <row r="4" spans="1:6" x14ac:dyDescent="0.25">
      <c r="A4" s="56" t="s">
        <v>196</v>
      </c>
    </row>
    <row r="5" spans="1:6" x14ac:dyDescent="0.25">
      <c r="A5" s="56" t="s">
        <v>543</v>
      </c>
      <c r="B5" s="56"/>
    </row>
    <row r="7" spans="1:6" x14ac:dyDescent="0.25">
      <c r="A7" s="94" t="s">
        <v>197</v>
      </c>
    </row>
    <row r="9" spans="1:6" x14ac:dyDescent="0.25">
      <c r="A9" s="94" t="s">
        <v>198</v>
      </c>
      <c r="B9" s="94"/>
      <c r="C9" s="94"/>
      <c r="D9" s="94"/>
      <c r="E9" s="94"/>
      <c r="F9" s="94"/>
    </row>
    <row r="11" spans="1:6" x14ac:dyDescent="0.25">
      <c r="A11" s="63" t="s">
        <v>199</v>
      </c>
      <c r="B11" s="63"/>
      <c r="C11" s="63"/>
      <c r="D11" s="63"/>
      <c r="E11" s="63"/>
    </row>
    <row r="12" spans="1:6" x14ac:dyDescent="0.25">
      <c r="A12" s="63"/>
      <c r="B12" s="63"/>
      <c r="C12" s="63"/>
      <c r="D12" s="63"/>
      <c r="E12" s="63"/>
    </row>
    <row r="13" spans="1:6" x14ac:dyDescent="0.25">
      <c r="A13" s="56" t="s">
        <v>200</v>
      </c>
      <c r="B13" s="67"/>
      <c r="C13" s="67"/>
      <c r="D13" s="67"/>
      <c r="E13" s="67"/>
    </row>
    <row r="14" spans="1:6" x14ac:dyDescent="0.25">
      <c r="A14" s="45" t="s">
        <v>201</v>
      </c>
    </row>
    <row r="15" spans="1:6" x14ac:dyDescent="0.25">
      <c r="A15" s="45" t="s">
        <v>202</v>
      </c>
    </row>
    <row r="17" spans="1:5" x14ac:dyDescent="0.25">
      <c r="A17" s="56" t="s">
        <v>203</v>
      </c>
    </row>
    <row r="18" spans="1:5" x14ac:dyDescent="0.25">
      <c r="A18" s="56" t="s">
        <v>274</v>
      </c>
    </row>
    <row r="20" spans="1:5" x14ac:dyDescent="0.25">
      <c r="A20" s="56" t="s">
        <v>204</v>
      </c>
    </row>
    <row r="21" spans="1:5" x14ac:dyDescent="0.25">
      <c r="A21" s="45" t="s">
        <v>205</v>
      </c>
    </row>
    <row r="23" spans="1:5" x14ac:dyDescent="0.25">
      <c r="A23" s="56" t="s">
        <v>206</v>
      </c>
      <c r="B23" s="63"/>
      <c r="C23" s="63"/>
      <c r="D23" s="63"/>
      <c r="E23" s="63"/>
    </row>
    <row r="24" spans="1:5" x14ac:dyDescent="0.25">
      <c r="A24" s="45" t="s">
        <v>207</v>
      </c>
    </row>
    <row r="25" spans="1:5" x14ac:dyDescent="0.25">
      <c r="A25" s="45" t="s">
        <v>285</v>
      </c>
    </row>
    <row r="27" spans="1:5" x14ac:dyDescent="0.25">
      <c r="A27" s="56" t="s">
        <v>208</v>
      </c>
    </row>
    <row r="28" spans="1:5" x14ac:dyDescent="0.25">
      <c r="A28" s="45" t="s">
        <v>209</v>
      </c>
    </row>
    <row r="29" spans="1:5" x14ac:dyDescent="0.25">
      <c r="A29" s="45" t="s">
        <v>210</v>
      </c>
    </row>
    <row r="30" spans="1:5" x14ac:dyDescent="0.25">
      <c r="A30" s="45" t="s">
        <v>211</v>
      </c>
    </row>
    <row r="32" spans="1:5" x14ac:dyDescent="0.25">
      <c r="A32" s="45" t="s">
        <v>224</v>
      </c>
    </row>
    <row r="33" spans="1:11" x14ac:dyDescent="0.25">
      <c r="B33" s="45" t="s">
        <v>233</v>
      </c>
    </row>
    <row r="35" spans="1:11" x14ac:dyDescent="0.25">
      <c r="A35" s="45" t="s">
        <v>212</v>
      </c>
    </row>
    <row r="36" spans="1:11" x14ac:dyDescent="0.25">
      <c r="A36" s="292" t="s">
        <v>213</v>
      </c>
      <c r="B36" s="292"/>
      <c r="C36" s="292"/>
      <c r="D36" s="292"/>
      <c r="E36" s="292"/>
      <c r="G36" s="292" t="s">
        <v>214</v>
      </c>
      <c r="H36" s="292"/>
      <c r="I36" s="292"/>
      <c r="J36" s="292"/>
      <c r="K36" s="292"/>
    </row>
    <row r="37" spans="1:11" x14ac:dyDescent="0.25">
      <c r="A37" s="292" t="s">
        <v>215</v>
      </c>
      <c r="B37" s="292"/>
      <c r="C37" s="292"/>
      <c r="D37" s="292"/>
      <c r="E37" s="292"/>
      <c r="G37" s="292" t="s">
        <v>216</v>
      </c>
      <c r="H37" s="292"/>
      <c r="I37" s="292"/>
      <c r="J37" s="292"/>
      <c r="K37" s="292"/>
    </row>
    <row r="38" spans="1:11" x14ac:dyDescent="0.25">
      <c r="A38" s="56"/>
      <c r="B38" s="56"/>
      <c r="C38" s="56"/>
      <c r="D38" s="56"/>
    </row>
    <row r="39" spans="1:11" x14ac:dyDescent="0.25">
      <c r="A39" s="56"/>
      <c r="B39" s="56"/>
      <c r="C39" s="56"/>
      <c r="D39" s="56"/>
    </row>
    <row r="40" spans="1:11" x14ac:dyDescent="0.25">
      <c r="A40" s="56"/>
      <c r="B40" s="56"/>
      <c r="C40" s="56"/>
      <c r="D40" s="56"/>
    </row>
    <row r="41" spans="1:11" x14ac:dyDescent="0.25">
      <c r="A41" s="292" t="s">
        <v>217</v>
      </c>
      <c r="B41" s="292"/>
      <c r="C41" s="292"/>
      <c r="D41" s="292"/>
      <c r="E41" s="292"/>
      <c r="F41" s="292"/>
      <c r="G41" s="292"/>
      <c r="H41" s="292"/>
      <c r="I41" s="292"/>
      <c r="J41" s="292"/>
    </row>
    <row r="42" spans="1:11" x14ac:dyDescent="0.25">
      <c r="A42" s="292" t="s">
        <v>218</v>
      </c>
      <c r="B42" s="292"/>
      <c r="C42" s="292"/>
      <c r="D42" s="292"/>
      <c r="E42" s="292"/>
      <c r="F42" s="292"/>
      <c r="G42" s="292"/>
      <c r="H42" s="292"/>
      <c r="I42" s="292"/>
      <c r="J42" s="292"/>
    </row>
    <row r="43" spans="1:11" x14ac:dyDescent="0.25">
      <c r="A43" s="292" t="s">
        <v>219</v>
      </c>
      <c r="B43" s="292"/>
      <c r="C43" s="292"/>
      <c r="D43" s="292"/>
      <c r="E43" s="292"/>
      <c r="F43" s="292" t="s">
        <v>557</v>
      </c>
      <c r="G43" s="292"/>
      <c r="H43" s="292" t="s">
        <v>553</v>
      </c>
      <c r="I43" s="292"/>
      <c r="J43" s="292"/>
      <c r="K43" s="56"/>
    </row>
    <row r="44" spans="1:11" x14ac:dyDescent="0.25">
      <c r="A44" s="56" t="s">
        <v>220</v>
      </c>
      <c r="B44" s="56"/>
      <c r="C44" s="56"/>
      <c r="D44" s="56"/>
      <c r="F44" s="292" t="s">
        <v>221</v>
      </c>
      <c r="G44" s="292"/>
      <c r="H44" s="292" t="s">
        <v>222</v>
      </c>
      <c r="I44" s="292"/>
      <c r="J44" s="292"/>
      <c r="K44" s="56"/>
    </row>
    <row r="45" spans="1:11" x14ac:dyDescent="0.25">
      <c r="A45" s="56" t="s">
        <v>544</v>
      </c>
      <c r="B45" s="56"/>
      <c r="C45" s="56"/>
      <c r="D45" s="56"/>
    </row>
    <row r="46" spans="1:11" x14ac:dyDescent="0.25">
      <c r="A46" s="56" t="s">
        <v>545</v>
      </c>
    </row>
    <row r="48" spans="1:11" x14ac:dyDescent="0.25">
      <c r="F48" s="292" t="s">
        <v>558</v>
      </c>
      <c r="G48" s="292"/>
      <c r="H48" s="292"/>
      <c r="I48" s="292"/>
      <c r="J48" s="292"/>
      <c r="K48" s="292"/>
    </row>
    <row r="49" spans="6:11" x14ac:dyDescent="0.25">
      <c r="F49" s="292" t="s">
        <v>223</v>
      </c>
      <c r="G49" s="292"/>
      <c r="H49" s="292"/>
      <c r="I49" s="292"/>
      <c r="J49" s="292"/>
      <c r="K49" s="292"/>
    </row>
  </sheetData>
  <mergeCells count="17">
    <mergeCell ref="H43:J43"/>
    <mergeCell ref="H48:K48"/>
    <mergeCell ref="H49:K49"/>
    <mergeCell ref="A43:E43"/>
    <mergeCell ref="F43:G43"/>
    <mergeCell ref="F49:G49"/>
    <mergeCell ref="F44:G44"/>
    <mergeCell ref="F48:G48"/>
    <mergeCell ref="H44:J44"/>
    <mergeCell ref="A42:E42"/>
    <mergeCell ref="F42:J42"/>
    <mergeCell ref="G36:K36"/>
    <mergeCell ref="G37:K37"/>
    <mergeCell ref="A36:E36"/>
    <mergeCell ref="A37:E37"/>
    <mergeCell ref="A41:E41"/>
    <mergeCell ref="F41:J41"/>
  </mergeCells>
  <phoneticPr fontId="0" type="noConversion"/>
  <printOptions horizontalCentered="1"/>
  <pageMargins left="0.16" right="0.22" top="0.5" bottom="0.5" header="0.5" footer="0.5"/>
  <pageSetup paperSize="9" scale="85" orientation="portrait"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5"/>
  <sheetViews>
    <sheetView view="pageBreakPreview" zoomScaleNormal="100" workbookViewId="0">
      <selection activeCell="H3" sqref="H3"/>
    </sheetView>
  </sheetViews>
  <sheetFormatPr defaultColWidth="9.140625" defaultRowHeight="15.75" x14ac:dyDescent="0.25"/>
  <cols>
    <col min="1" max="2" width="9.140625" style="45"/>
    <col min="3" max="3" width="9.85546875" style="45" customWidth="1"/>
    <col min="4" max="4" width="7.42578125" style="45" customWidth="1"/>
    <col min="5" max="5" width="11.5703125" style="45" customWidth="1"/>
    <col min="6" max="6" width="18.42578125" style="95" bestFit="1" customWidth="1"/>
    <col min="7" max="7" width="19" style="95" customWidth="1"/>
    <col min="8" max="8" width="16.7109375" style="45" bestFit="1" customWidth="1"/>
    <col min="9" max="9" width="14.7109375" style="45" bestFit="1" customWidth="1"/>
    <col min="10" max="11" width="9.140625" style="45"/>
    <col min="12" max="12" width="16" style="45" bestFit="1" customWidth="1"/>
    <col min="13" max="16384" width="9.140625" style="45"/>
  </cols>
  <sheetData>
    <row r="1" spans="1:9" x14ac:dyDescent="0.25">
      <c r="A1" s="292" t="s">
        <v>339</v>
      </c>
      <c r="B1" s="292"/>
      <c r="C1" s="292"/>
      <c r="D1" s="292"/>
      <c r="E1" s="292"/>
      <c r="F1" s="292"/>
      <c r="G1" s="292"/>
    </row>
    <row r="3" spans="1:9" x14ac:dyDescent="0.25">
      <c r="A3" s="292" t="s">
        <v>340</v>
      </c>
      <c r="B3" s="292"/>
      <c r="C3" s="292"/>
      <c r="D3" s="292"/>
      <c r="E3" s="292"/>
      <c r="F3" s="292"/>
      <c r="G3" s="292"/>
    </row>
    <row r="4" spans="1:9" x14ac:dyDescent="0.25">
      <c r="A4" s="292" t="s">
        <v>502</v>
      </c>
      <c r="B4" s="292"/>
      <c r="C4" s="292"/>
      <c r="D4" s="292"/>
      <c r="E4" s="292"/>
      <c r="F4" s="292"/>
      <c r="G4" s="292"/>
    </row>
    <row r="5" spans="1:9" x14ac:dyDescent="0.25">
      <c r="A5" s="56"/>
    </row>
    <row r="6" spans="1:9" x14ac:dyDescent="0.25">
      <c r="A6" s="56" t="s">
        <v>341</v>
      </c>
      <c r="F6" s="96" t="s">
        <v>286</v>
      </c>
    </row>
    <row r="7" spans="1:9" x14ac:dyDescent="0.25">
      <c r="A7" s="56"/>
      <c r="F7" s="96"/>
    </row>
    <row r="8" spans="1:9" x14ac:dyDescent="0.25">
      <c r="A8" s="45" t="s">
        <v>342</v>
      </c>
      <c r="F8" s="97"/>
      <c r="G8" s="97">
        <v>3697388</v>
      </c>
      <c r="H8" s="97">
        <v>3145047</v>
      </c>
      <c r="I8" s="45">
        <v>3697388</v>
      </c>
    </row>
    <row r="9" spans="1:9" x14ac:dyDescent="0.25">
      <c r="I9" s="43">
        <f>I8-G8</f>
        <v>0</v>
      </c>
    </row>
    <row r="10" spans="1:9" x14ac:dyDescent="0.25">
      <c r="A10" s="45" t="s">
        <v>343</v>
      </c>
      <c r="G10" s="95">
        <f>G30*5.1%</f>
        <v>1738768.3135837798</v>
      </c>
    </row>
    <row r="12" spans="1:9" x14ac:dyDescent="0.25">
      <c r="A12" s="45" t="s">
        <v>344</v>
      </c>
    </row>
    <row r="13" spans="1:9" x14ac:dyDescent="0.25">
      <c r="A13" s="45" t="s">
        <v>345</v>
      </c>
      <c r="G13" s="95">
        <f>G8-G10</f>
        <v>1958619.6864162202</v>
      </c>
    </row>
    <row r="15" spans="1:9" x14ac:dyDescent="0.25">
      <c r="A15" s="45" t="s">
        <v>346</v>
      </c>
      <c r="F15" s="98"/>
      <c r="G15" s="95">
        <v>5.0999999999999996</v>
      </c>
    </row>
    <row r="16" spans="1:9" x14ac:dyDescent="0.25">
      <c r="A16" s="45" t="s">
        <v>347</v>
      </c>
    </row>
    <row r="18" spans="1:12" x14ac:dyDescent="0.25">
      <c r="L18" s="43"/>
    </row>
    <row r="19" spans="1:12" x14ac:dyDescent="0.25">
      <c r="A19" s="63" t="s">
        <v>348</v>
      </c>
      <c r="B19" s="63"/>
      <c r="C19" s="63"/>
    </row>
    <row r="20" spans="1:12" x14ac:dyDescent="0.25">
      <c r="A20" s="56" t="s">
        <v>140</v>
      </c>
    </row>
    <row r="21" spans="1:12" x14ac:dyDescent="0.25">
      <c r="A21" s="45" t="s">
        <v>349</v>
      </c>
      <c r="G21" s="95">
        <f>BalanceSheet!E10</f>
        <v>48466412.460000001</v>
      </c>
      <c r="L21" s="43"/>
    </row>
    <row r="23" spans="1:12" x14ac:dyDescent="0.25">
      <c r="A23" s="45" t="s">
        <v>350</v>
      </c>
      <c r="G23" s="95">
        <f>BalanceSheet!E37</f>
        <v>-1256774.58</v>
      </c>
    </row>
    <row r="25" spans="1:12" x14ac:dyDescent="0.25">
      <c r="A25" s="45" t="s">
        <v>351</v>
      </c>
      <c r="G25" s="95">
        <f>'Sch D'!E43</f>
        <v>20234092.649999999</v>
      </c>
    </row>
    <row r="27" spans="1:12" x14ac:dyDescent="0.25">
      <c r="D27" s="56" t="s">
        <v>352</v>
      </c>
      <c r="E27" s="99"/>
      <c r="F27" s="97"/>
      <c r="G27" s="95">
        <f>G21+G23-G25</f>
        <v>26975545.230000004</v>
      </c>
    </row>
    <row r="28" spans="1:12" x14ac:dyDescent="0.25">
      <c r="H28" s="100"/>
    </row>
    <row r="29" spans="1:12" x14ac:dyDescent="0.25">
      <c r="A29" s="56" t="s">
        <v>139</v>
      </c>
    </row>
    <row r="30" spans="1:12" x14ac:dyDescent="0.25">
      <c r="A30" s="45" t="s">
        <v>353</v>
      </c>
      <c r="D30" s="56" t="s">
        <v>352</v>
      </c>
      <c r="F30" s="97"/>
      <c r="G30" s="95">
        <v>34093496.344779998</v>
      </c>
      <c r="I30" s="43"/>
    </row>
    <row r="31" spans="1:12" x14ac:dyDescent="0.25">
      <c r="H31" s="100">
        <f>(G8*100)/G32</f>
        <v>6.0544392128251925</v>
      </c>
    </row>
    <row r="32" spans="1:12" ht="16.5" thickBot="1" x14ac:dyDescent="0.3">
      <c r="D32" s="56" t="s">
        <v>354</v>
      </c>
      <c r="F32" s="101">
        <f>F27+F30</f>
        <v>0</v>
      </c>
      <c r="G32" s="101">
        <f>G27+G30</f>
        <v>61069041.574780002</v>
      </c>
    </row>
    <row r="33" spans="1:1" ht="16.5" thickTop="1" x14ac:dyDescent="0.25"/>
    <row r="34" spans="1:1" x14ac:dyDescent="0.25">
      <c r="A34" s="45" t="s">
        <v>515</v>
      </c>
    </row>
    <row r="35" spans="1:1" x14ac:dyDescent="0.25">
      <c r="A35" s="45" t="s">
        <v>355</v>
      </c>
    </row>
  </sheetData>
  <mergeCells count="3">
    <mergeCell ref="A1:G1"/>
    <mergeCell ref="A3:G3"/>
    <mergeCell ref="A4:G4"/>
  </mergeCells>
  <printOptions horizontalCentered="1"/>
  <pageMargins left="0.16" right="0.22" top="1" bottom="1" header="0.5" footer="0.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D6" sqref="D6"/>
    </sheetView>
  </sheetViews>
  <sheetFormatPr defaultRowHeight="12.75" x14ac:dyDescent="0.2"/>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6"/>
  <sheetViews>
    <sheetView view="pageBreakPreview" topLeftCell="A48" zoomScaleNormal="100" zoomScaleSheetLayoutView="100" workbookViewId="0">
      <selection activeCell="G64" sqref="G64"/>
    </sheetView>
  </sheetViews>
  <sheetFormatPr defaultColWidth="9.140625" defaultRowHeight="12.75" x14ac:dyDescent="0.2"/>
  <cols>
    <col min="1" max="1" width="3.42578125" style="13" customWidth="1"/>
    <col min="2" max="2" width="4.140625" style="13" customWidth="1"/>
    <col min="3" max="3" width="9.5703125" style="13" customWidth="1"/>
    <col min="4" max="4" width="10.140625" style="13" bestFit="1" customWidth="1"/>
    <col min="5" max="5" width="21.42578125" style="13" customWidth="1"/>
    <col min="6" max="6" width="29" style="13" customWidth="1"/>
    <col min="7" max="7" width="17.5703125" style="13" bestFit="1" customWidth="1"/>
    <col min="8" max="8" width="23.5703125" style="13" customWidth="1"/>
    <col min="9" max="9" width="9.140625" style="13"/>
    <col min="10" max="10" width="11.85546875" style="13" bestFit="1" customWidth="1"/>
    <col min="11" max="16384" width="9.140625" style="13"/>
  </cols>
  <sheetData>
    <row r="1" spans="1:12" x14ac:dyDescent="0.2">
      <c r="F1" s="13" t="s">
        <v>433</v>
      </c>
    </row>
    <row r="2" spans="1:12" x14ac:dyDescent="0.2">
      <c r="F2" s="14" t="s">
        <v>434</v>
      </c>
    </row>
    <row r="3" spans="1:12" x14ac:dyDescent="0.2">
      <c r="F3" s="13" t="s">
        <v>435</v>
      </c>
    </row>
    <row r="4" spans="1:12" ht="13.5" thickBot="1" x14ac:dyDescent="0.25">
      <c r="A4" s="13" t="s">
        <v>436</v>
      </c>
      <c r="G4" s="15" t="s">
        <v>540</v>
      </c>
      <c r="H4" s="14"/>
    </row>
    <row r="5" spans="1:12" ht="13.5" thickBot="1" x14ac:dyDescent="0.25">
      <c r="A5" s="13" t="s">
        <v>437</v>
      </c>
      <c r="D5" s="15" t="s">
        <v>195</v>
      </c>
      <c r="E5" s="15"/>
      <c r="F5" s="15"/>
    </row>
    <row r="6" spans="1:12" ht="12" customHeight="1" x14ac:dyDescent="0.2"/>
    <row r="7" spans="1:12" ht="15" thickBot="1" x14ac:dyDescent="0.25">
      <c r="A7" s="13" t="s">
        <v>438</v>
      </c>
      <c r="D7" s="5" t="s">
        <v>479</v>
      </c>
      <c r="G7" s="14"/>
    </row>
    <row r="8" spans="1:12" ht="6.75" customHeight="1" thickBot="1" x14ac:dyDescent="0.25">
      <c r="A8" s="16"/>
      <c r="B8" s="16"/>
      <c r="C8" s="16"/>
      <c r="D8" s="16"/>
      <c r="E8" s="16"/>
      <c r="F8" s="16"/>
      <c r="G8" s="16"/>
      <c r="H8" s="16"/>
    </row>
    <row r="9" spans="1:12" ht="13.5" thickBot="1" x14ac:dyDescent="0.25">
      <c r="A9" s="17"/>
      <c r="B9" s="18"/>
      <c r="C9" s="18"/>
      <c r="D9" s="18"/>
      <c r="E9" s="18"/>
      <c r="F9" s="19"/>
      <c r="G9" s="20" t="s">
        <v>439</v>
      </c>
      <c r="H9" s="21" t="s">
        <v>439</v>
      </c>
    </row>
    <row r="10" spans="1:12" x14ac:dyDescent="0.2">
      <c r="A10" s="22"/>
      <c r="F10" s="23"/>
      <c r="G10" s="24"/>
      <c r="H10" s="25"/>
    </row>
    <row r="11" spans="1:12" x14ac:dyDescent="0.2">
      <c r="A11" s="26" t="s">
        <v>440</v>
      </c>
      <c r="B11" s="256" t="s">
        <v>441</v>
      </c>
      <c r="C11" s="253"/>
      <c r="D11" s="253"/>
      <c r="E11" s="253"/>
      <c r="F11" s="254"/>
      <c r="G11" s="24"/>
      <c r="H11" s="25"/>
    </row>
    <row r="12" spans="1:12" x14ac:dyDescent="0.2">
      <c r="A12" s="27"/>
      <c r="B12" s="253"/>
      <c r="C12" s="253"/>
      <c r="D12" s="253"/>
      <c r="E12" s="253"/>
      <c r="F12" s="254"/>
      <c r="G12" s="24"/>
      <c r="H12" s="112">
        <f>29979159.02</f>
        <v>29979159.02</v>
      </c>
      <c r="J12" s="108" t="s">
        <v>525</v>
      </c>
      <c r="L12" s="13">
        <v>2057</v>
      </c>
    </row>
    <row r="13" spans="1:12" x14ac:dyDescent="0.2">
      <c r="A13" s="26" t="s">
        <v>442</v>
      </c>
      <c r="B13" s="256" t="s">
        <v>443</v>
      </c>
      <c r="C13" s="253"/>
      <c r="D13" s="253"/>
      <c r="E13" s="253"/>
      <c r="F13" s="254"/>
      <c r="G13" s="24"/>
      <c r="H13" s="25"/>
    </row>
    <row r="14" spans="1:12" x14ac:dyDescent="0.2">
      <c r="A14" s="26"/>
      <c r="B14" s="253"/>
      <c r="C14" s="253"/>
      <c r="D14" s="253"/>
      <c r="E14" s="253"/>
      <c r="F14" s="254"/>
      <c r="G14" s="24"/>
      <c r="H14" s="25"/>
    </row>
    <row r="15" spans="1:12" x14ac:dyDescent="0.2">
      <c r="A15" s="22"/>
      <c r="B15" s="28" t="s">
        <v>406</v>
      </c>
      <c r="C15" s="13" t="s">
        <v>444</v>
      </c>
      <c r="F15" s="23"/>
      <c r="G15" s="24"/>
      <c r="H15" s="25"/>
    </row>
    <row r="16" spans="1:12" x14ac:dyDescent="0.2">
      <c r="A16" s="22"/>
      <c r="B16" s="28" t="s">
        <v>445</v>
      </c>
      <c r="C16" s="13" t="s">
        <v>446</v>
      </c>
      <c r="F16" s="23"/>
      <c r="G16" s="24"/>
      <c r="H16" s="25"/>
    </row>
    <row r="17" spans="1:10" x14ac:dyDescent="0.2">
      <c r="A17" s="22"/>
      <c r="B17" s="28" t="s">
        <v>447</v>
      </c>
      <c r="C17" s="13" t="s">
        <v>448</v>
      </c>
      <c r="F17" s="23"/>
      <c r="G17" s="24"/>
      <c r="H17" s="25"/>
    </row>
    <row r="18" spans="1:10" x14ac:dyDescent="0.2">
      <c r="A18" s="22"/>
      <c r="B18" s="28" t="s">
        <v>449</v>
      </c>
      <c r="C18" s="253" t="s">
        <v>450</v>
      </c>
      <c r="D18" s="253"/>
      <c r="E18" s="253"/>
      <c r="F18" s="254"/>
      <c r="G18" s="24">
        <v>14491005.699999999</v>
      </c>
      <c r="H18" s="25"/>
      <c r="J18" s="108" t="s">
        <v>524</v>
      </c>
    </row>
    <row r="19" spans="1:10" x14ac:dyDescent="0.2">
      <c r="A19" s="22"/>
      <c r="B19" s="28" t="s">
        <v>451</v>
      </c>
      <c r="C19" s="13" t="s">
        <v>452</v>
      </c>
      <c r="F19" s="23"/>
      <c r="G19" s="24"/>
      <c r="H19" s="25"/>
    </row>
    <row r="20" spans="1:10" x14ac:dyDescent="0.2">
      <c r="A20" s="22"/>
      <c r="B20" s="28" t="s">
        <v>453</v>
      </c>
      <c r="C20" s="13" t="s">
        <v>454</v>
      </c>
      <c r="F20" s="23"/>
      <c r="G20" s="24"/>
      <c r="H20" s="25"/>
    </row>
    <row r="21" spans="1:10" x14ac:dyDescent="0.2">
      <c r="A21" s="22"/>
      <c r="B21" s="28"/>
      <c r="C21" s="14" t="s">
        <v>455</v>
      </c>
      <c r="D21" s="14"/>
      <c r="E21" s="14"/>
      <c r="F21" s="23"/>
      <c r="G21" s="24"/>
      <c r="H21" s="25"/>
    </row>
    <row r="22" spans="1:10" x14ac:dyDescent="0.2">
      <c r="A22" s="22"/>
      <c r="B22" s="28" t="s">
        <v>456</v>
      </c>
      <c r="C22" s="253" t="s">
        <v>457</v>
      </c>
      <c r="D22" s="253"/>
      <c r="E22" s="253"/>
      <c r="F22" s="254"/>
      <c r="G22" s="24"/>
      <c r="H22" s="25"/>
    </row>
    <row r="23" spans="1:10" x14ac:dyDescent="0.2">
      <c r="A23" s="22"/>
      <c r="B23" s="28"/>
      <c r="C23" s="253"/>
      <c r="D23" s="253"/>
      <c r="E23" s="253"/>
      <c r="F23" s="254"/>
      <c r="G23" s="24"/>
      <c r="H23" s="25"/>
    </row>
    <row r="24" spans="1:10" x14ac:dyDescent="0.2">
      <c r="A24" s="22"/>
      <c r="B24" s="28" t="s">
        <v>458</v>
      </c>
      <c r="C24" s="253" t="s">
        <v>459</v>
      </c>
      <c r="D24" s="253"/>
      <c r="E24" s="253"/>
      <c r="F24" s="254"/>
      <c r="G24" s="24"/>
      <c r="H24" s="25"/>
    </row>
    <row r="25" spans="1:10" x14ac:dyDescent="0.2">
      <c r="A25" s="22"/>
      <c r="B25" s="28"/>
      <c r="C25" s="253"/>
      <c r="D25" s="253"/>
      <c r="E25" s="253"/>
      <c r="F25" s="254"/>
      <c r="G25" s="24"/>
      <c r="H25" s="25"/>
    </row>
    <row r="26" spans="1:10" ht="13.5" thickBot="1" x14ac:dyDescent="0.25">
      <c r="A26" s="22"/>
      <c r="B26" s="28"/>
      <c r="C26" s="13" t="s">
        <v>460</v>
      </c>
      <c r="F26" s="23"/>
      <c r="G26" s="29"/>
      <c r="H26" s="25"/>
    </row>
    <row r="27" spans="1:10" x14ac:dyDescent="0.2">
      <c r="A27" s="22"/>
      <c r="B27" s="28"/>
      <c r="C27" s="13" t="s">
        <v>461</v>
      </c>
      <c r="F27" s="23"/>
      <c r="G27" s="24"/>
      <c r="H27" s="25"/>
    </row>
    <row r="28" spans="1:10" x14ac:dyDescent="0.2">
      <c r="A28" s="22"/>
      <c r="B28" s="28"/>
      <c r="C28" s="13" t="s">
        <v>462</v>
      </c>
      <c r="F28" s="23"/>
      <c r="G28" s="24"/>
      <c r="H28" s="25"/>
    </row>
    <row r="29" spans="1:10" x14ac:dyDescent="0.2">
      <c r="A29" s="22"/>
      <c r="B29" s="28"/>
      <c r="C29" s="13" t="s">
        <v>463</v>
      </c>
      <c r="F29" s="23"/>
      <c r="G29" s="24"/>
      <c r="H29" s="25"/>
    </row>
    <row r="30" spans="1:10" x14ac:dyDescent="0.2">
      <c r="A30" s="22"/>
      <c r="B30" s="28" t="s">
        <v>464</v>
      </c>
      <c r="C30" s="253" t="s">
        <v>465</v>
      </c>
      <c r="D30" s="253"/>
      <c r="E30" s="253"/>
      <c r="F30" s="254"/>
      <c r="G30" s="24"/>
      <c r="H30" s="25"/>
    </row>
    <row r="31" spans="1:10" x14ac:dyDescent="0.2">
      <c r="A31" s="22"/>
      <c r="B31" s="28"/>
      <c r="C31" s="253"/>
      <c r="D31" s="253"/>
      <c r="E31" s="253"/>
      <c r="F31" s="254"/>
      <c r="G31" s="24"/>
      <c r="H31" s="25"/>
    </row>
    <row r="32" spans="1:10" x14ac:dyDescent="0.2">
      <c r="A32" s="22"/>
      <c r="B32" s="28"/>
      <c r="C32" s="13" t="s">
        <v>466</v>
      </c>
      <c r="F32" s="23"/>
      <c r="G32" s="24"/>
      <c r="H32" s="25"/>
    </row>
    <row r="33" spans="1:10" x14ac:dyDescent="0.2">
      <c r="A33" s="22"/>
      <c r="B33" s="28"/>
      <c r="C33" s="13" t="s">
        <v>467</v>
      </c>
      <c r="F33" s="23"/>
      <c r="G33" s="24"/>
      <c r="H33" s="25"/>
    </row>
    <row r="34" spans="1:10" x14ac:dyDescent="0.2">
      <c r="A34" s="22"/>
      <c r="B34" s="28"/>
      <c r="C34" s="13" t="s">
        <v>468</v>
      </c>
      <c r="F34" s="23"/>
      <c r="G34" s="24"/>
      <c r="H34" s="25"/>
    </row>
    <row r="35" spans="1:10" x14ac:dyDescent="0.2">
      <c r="A35" s="22"/>
      <c r="B35" s="28"/>
      <c r="C35" s="13" t="s">
        <v>469</v>
      </c>
      <c r="F35" s="23"/>
      <c r="G35" s="24"/>
      <c r="H35" s="25"/>
    </row>
    <row r="36" spans="1:10" x14ac:dyDescent="0.2">
      <c r="A36" s="22"/>
      <c r="B36" s="28"/>
      <c r="C36" s="13" t="s">
        <v>470</v>
      </c>
      <c r="F36" s="23"/>
      <c r="G36" s="24"/>
      <c r="H36" s="25"/>
    </row>
    <row r="37" spans="1:10" x14ac:dyDescent="0.2">
      <c r="A37" s="22"/>
      <c r="B37" s="28"/>
      <c r="C37" s="13" t="s">
        <v>471</v>
      </c>
      <c r="F37" s="23"/>
      <c r="G37" s="24"/>
      <c r="H37" s="25"/>
    </row>
    <row r="38" spans="1:10" x14ac:dyDescent="0.2">
      <c r="A38" s="22"/>
      <c r="B38" s="28"/>
      <c r="C38" s="13" t="s">
        <v>472</v>
      </c>
      <c r="F38" s="23"/>
      <c r="G38" s="24"/>
      <c r="H38" s="25"/>
    </row>
    <row r="39" spans="1:10" x14ac:dyDescent="0.2">
      <c r="A39" s="22"/>
      <c r="B39" s="28" t="s">
        <v>473</v>
      </c>
      <c r="C39" s="253" t="s">
        <v>474</v>
      </c>
      <c r="D39" s="253"/>
      <c r="E39" s="253"/>
      <c r="F39" s="254"/>
      <c r="G39" s="24"/>
      <c r="H39" s="25"/>
    </row>
    <row r="40" spans="1:10" x14ac:dyDescent="0.2">
      <c r="A40" s="22"/>
      <c r="B40" s="28"/>
      <c r="C40" s="253"/>
      <c r="D40" s="253"/>
      <c r="E40" s="253"/>
      <c r="F40" s="254"/>
      <c r="G40" s="24">
        <f>2795835.16*1%</f>
        <v>27958.351600000002</v>
      </c>
      <c r="H40" s="25"/>
      <c r="J40" s="108" t="s">
        <v>526</v>
      </c>
    </row>
    <row r="41" spans="1:10" x14ac:dyDescent="0.2">
      <c r="A41" s="22"/>
      <c r="B41" s="28" t="s">
        <v>475</v>
      </c>
      <c r="C41" s="253" t="s">
        <v>476</v>
      </c>
      <c r="D41" s="253"/>
      <c r="E41" s="253"/>
      <c r="F41" s="254"/>
      <c r="G41" s="24"/>
      <c r="H41" s="25"/>
      <c r="J41" s="92"/>
    </row>
    <row r="42" spans="1:10" x14ac:dyDescent="0.2">
      <c r="A42" s="22"/>
      <c r="B42" s="28"/>
      <c r="C42" s="253"/>
      <c r="D42" s="253"/>
      <c r="E42" s="253"/>
      <c r="F42" s="254"/>
      <c r="G42" s="24"/>
      <c r="H42" s="25"/>
    </row>
    <row r="43" spans="1:10" x14ac:dyDescent="0.2">
      <c r="A43" s="22"/>
      <c r="B43" s="28"/>
      <c r="C43" s="253"/>
      <c r="D43" s="253"/>
      <c r="E43" s="253"/>
      <c r="F43" s="254"/>
      <c r="G43" s="24"/>
      <c r="H43" s="25"/>
    </row>
    <row r="44" spans="1:10" ht="13.5" thickBot="1" x14ac:dyDescent="0.25">
      <c r="A44" s="22"/>
      <c r="B44" s="28"/>
      <c r="F44" s="23"/>
      <c r="G44" s="30"/>
      <c r="H44" s="25">
        <f>G18+G40</f>
        <v>14518964.0516</v>
      </c>
    </row>
    <row r="45" spans="1:10" ht="13.5" thickBot="1" x14ac:dyDescent="0.25">
      <c r="A45" s="31"/>
      <c r="B45" s="32"/>
      <c r="C45" s="15" t="s">
        <v>477</v>
      </c>
      <c r="D45" s="16"/>
      <c r="E45" s="16"/>
      <c r="F45" s="33"/>
      <c r="G45" s="34"/>
      <c r="H45" s="35">
        <f>SUM(H10:H43)-H44</f>
        <v>15460194.9684</v>
      </c>
    </row>
    <row r="46" spans="1:10" x14ac:dyDescent="0.2">
      <c r="A46" s="253" t="s">
        <v>478</v>
      </c>
      <c r="B46" s="253"/>
      <c r="C46" s="253"/>
      <c r="D46" s="253"/>
      <c r="E46" s="253"/>
      <c r="F46" s="253"/>
      <c r="G46" s="253"/>
      <c r="H46" s="253"/>
    </row>
    <row r="47" spans="1:10" x14ac:dyDescent="0.2">
      <c r="A47" s="253"/>
      <c r="B47" s="253"/>
      <c r="C47" s="253"/>
      <c r="D47" s="253"/>
      <c r="E47" s="253"/>
      <c r="F47" s="253"/>
      <c r="G47" s="253"/>
      <c r="H47" s="253"/>
    </row>
    <row r="48" spans="1:10" x14ac:dyDescent="0.2">
      <c r="A48" s="253"/>
      <c r="B48" s="253"/>
      <c r="C48" s="253"/>
      <c r="D48" s="253"/>
      <c r="E48" s="253"/>
      <c r="F48" s="253"/>
      <c r="G48" s="253"/>
      <c r="H48" s="253"/>
    </row>
    <row r="50" spans="1:12" x14ac:dyDescent="0.2">
      <c r="A50" s="14" t="s">
        <v>480</v>
      </c>
    </row>
    <row r="51" spans="1:12" x14ac:dyDescent="0.2">
      <c r="A51" s="14"/>
    </row>
    <row r="52" spans="1:12" ht="15.75" x14ac:dyDescent="0.25">
      <c r="A52" s="14"/>
      <c r="F52" s="2" t="s">
        <v>183</v>
      </c>
      <c r="G52" s="2"/>
      <c r="H52" s="2"/>
      <c r="I52" s="2"/>
      <c r="J52" s="2"/>
      <c r="K52" s="2"/>
      <c r="L52" s="2"/>
    </row>
    <row r="54" spans="1:12" ht="14.25" x14ac:dyDescent="0.2">
      <c r="A54" s="37"/>
      <c r="B54" s="37"/>
      <c r="C54" s="37"/>
      <c r="D54" s="37"/>
      <c r="E54" s="37"/>
    </row>
    <row r="55" spans="1:12" ht="14.25" x14ac:dyDescent="0.2">
      <c r="A55" s="255" t="s">
        <v>62</v>
      </c>
      <c r="B55" s="255"/>
      <c r="C55" s="255"/>
      <c r="D55" s="255"/>
      <c r="E55" s="255"/>
    </row>
    <row r="56" spans="1:12" ht="15.75" x14ac:dyDescent="0.25">
      <c r="A56" s="248" t="s">
        <v>63</v>
      </c>
      <c r="B56" s="248"/>
      <c r="C56" s="248"/>
      <c r="D56" s="248"/>
      <c r="E56" s="248"/>
      <c r="G56" s="38" t="s">
        <v>556</v>
      </c>
    </row>
    <row r="59" spans="1:12" ht="15.75" x14ac:dyDescent="0.25">
      <c r="A59" s="1"/>
      <c r="B59" s="1"/>
      <c r="C59" s="1"/>
      <c r="D59" s="1"/>
    </row>
    <row r="60" spans="1:12" ht="15.75" x14ac:dyDescent="0.25">
      <c r="A60" s="1"/>
      <c r="B60" s="1"/>
      <c r="C60" s="1"/>
      <c r="D60" s="1"/>
      <c r="G60" s="38" t="s">
        <v>554</v>
      </c>
    </row>
    <row r="61" spans="1:12" ht="15.75" x14ac:dyDescent="0.25">
      <c r="A61" s="248" t="s">
        <v>305</v>
      </c>
      <c r="B61" s="248"/>
      <c r="C61" s="248"/>
      <c r="D61" s="248"/>
      <c r="E61" s="248"/>
      <c r="G61" s="38"/>
    </row>
    <row r="62" spans="1:12" ht="15.75" x14ac:dyDescent="0.25">
      <c r="A62" s="248" t="s">
        <v>169</v>
      </c>
      <c r="B62" s="248"/>
      <c r="C62" s="248"/>
      <c r="D62" s="248"/>
      <c r="E62" s="248"/>
      <c r="F62" s="28"/>
      <c r="G62" s="28"/>
      <c r="H62" s="28"/>
    </row>
    <row r="63" spans="1:12" x14ac:dyDescent="0.2">
      <c r="F63" s="28"/>
      <c r="G63" s="28"/>
      <c r="H63" s="28"/>
    </row>
    <row r="64" spans="1:12" ht="15.75" x14ac:dyDescent="0.25">
      <c r="A64" s="40" t="s">
        <v>481</v>
      </c>
      <c r="B64" s="40"/>
      <c r="C64" s="40"/>
      <c r="D64" s="39"/>
      <c r="E64" s="39" t="s">
        <v>541</v>
      </c>
      <c r="F64" s="38" t="s">
        <v>173</v>
      </c>
      <c r="G64" s="38" t="s">
        <v>555</v>
      </c>
      <c r="H64" s="14"/>
    </row>
    <row r="65" spans="1:8" ht="15.75" x14ac:dyDescent="0.25">
      <c r="A65" s="14"/>
      <c r="B65" s="14"/>
      <c r="C65" s="14"/>
      <c r="D65" s="14"/>
      <c r="E65" s="115"/>
      <c r="F65" s="38"/>
      <c r="G65" s="36"/>
      <c r="H65" s="36"/>
    </row>
    <row r="66" spans="1:8" x14ac:dyDescent="0.2">
      <c r="A66" s="252"/>
      <c r="B66" s="252"/>
      <c r="C66" s="252"/>
      <c r="D66" s="252"/>
      <c r="E66" s="252"/>
      <c r="F66" s="252"/>
      <c r="G66" s="252"/>
      <c r="H66" s="252"/>
    </row>
  </sheetData>
  <mergeCells count="15">
    <mergeCell ref="C39:F40"/>
    <mergeCell ref="C41:F43"/>
    <mergeCell ref="A46:H48"/>
    <mergeCell ref="A55:E55"/>
    <mergeCell ref="B11:F12"/>
    <mergeCell ref="B13:F14"/>
    <mergeCell ref="C18:F18"/>
    <mergeCell ref="C22:F23"/>
    <mergeCell ref="C24:F25"/>
    <mergeCell ref="C30:F31"/>
    <mergeCell ref="A62:E62"/>
    <mergeCell ref="A56:E56"/>
    <mergeCell ref="A61:E61"/>
    <mergeCell ref="F66:H66"/>
    <mergeCell ref="A66:E66"/>
  </mergeCells>
  <printOptions horizontalCentered="1"/>
  <pageMargins left="0.19685039370078741" right="0.19685039370078741" top="0.74803149606299213" bottom="0.35433070866141736" header="0" footer="0"/>
  <pageSetup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812"/>
  <sheetViews>
    <sheetView view="pageBreakPreview" topLeftCell="A783" zoomScaleNormal="100" zoomScaleSheetLayoutView="100" workbookViewId="0">
      <selection activeCell="J813" sqref="J813"/>
    </sheetView>
  </sheetViews>
  <sheetFormatPr defaultColWidth="15.85546875" defaultRowHeight="15.75" x14ac:dyDescent="0.25"/>
  <cols>
    <col min="1" max="1" width="4.7109375" style="45" customWidth="1"/>
    <col min="2" max="2" width="17.7109375" style="45" customWidth="1"/>
    <col min="3" max="6" width="15.5703125" style="45" customWidth="1"/>
    <col min="7" max="7" width="5.42578125" style="45" customWidth="1"/>
    <col min="8" max="8" width="6.28515625" style="45" customWidth="1"/>
    <col min="9" max="9" width="18.42578125" style="50" customWidth="1"/>
    <col min="10" max="10" width="17.85546875" style="50" bestFit="1" customWidth="1"/>
    <col min="11" max="11" width="18.7109375" style="50" bestFit="1" customWidth="1"/>
    <col min="12" max="12" width="17.28515625" style="45" bestFit="1" customWidth="1"/>
    <col min="13" max="13" width="21" style="45" bestFit="1" customWidth="1"/>
    <col min="14" max="16384" width="15.85546875" style="45"/>
  </cols>
  <sheetData>
    <row r="1" spans="1:13" x14ac:dyDescent="0.25">
      <c r="A1" s="1"/>
      <c r="B1" s="1"/>
      <c r="C1" s="1"/>
      <c r="D1" s="1"/>
      <c r="E1" s="1"/>
      <c r="F1" s="1"/>
      <c r="G1" s="1"/>
      <c r="H1" s="1"/>
      <c r="J1" s="102"/>
      <c r="K1" s="102"/>
      <c r="L1" s="61"/>
    </row>
    <row r="2" spans="1:13" x14ac:dyDescent="0.25">
      <c r="A2" s="47" t="s">
        <v>105</v>
      </c>
      <c r="B2" s="1"/>
      <c r="D2" s="47" t="s">
        <v>1</v>
      </c>
      <c r="E2" s="1"/>
      <c r="F2" s="1"/>
      <c r="G2" s="1"/>
      <c r="H2" s="1"/>
      <c r="K2" s="103"/>
      <c r="L2" s="2"/>
    </row>
    <row r="3" spans="1:13" x14ac:dyDescent="0.25">
      <c r="A3" s="1"/>
      <c r="B3" s="1"/>
      <c r="C3" s="1"/>
      <c r="D3" s="1"/>
      <c r="E3" s="1"/>
      <c r="F3" s="1"/>
      <c r="G3" s="1"/>
      <c r="H3" s="1"/>
      <c r="L3" s="1"/>
    </row>
    <row r="4" spans="1:13" x14ac:dyDescent="0.25">
      <c r="A4" s="2" t="s">
        <v>523</v>
      </c>
      <c r="B4" s="2"/>
      <c r="C4" s="2"/>
      <c r="D4" s="2"/>
      <c r="E4" s="2"/>
      <c r="F4" s="2"/>
      <c r="G4" s="2"/>
      <c r="H4" s="2"/>
      <c r="I4" s="56"/>
      <c r="J4" s="56"/>
      <c r="K4" s="56"/>
      <c r="L4" s="1"/>
    </row>
    <row r="5" spans="1:13" x14ac:dyDescent="0.25">
      <c r="A5" s="2"/>
      <c r="B5" s="2"/>
      <c r="C5" s="2"/>
      <c r="D5" s="2"/>
      <c r="E5" s="2"/>
      <c r="F5" s="2"/>
      <c r="G5" s="2"/>
      <c r="H5" s="2"/>
      <c r="I5" s="56"/>
      <c r="J5" s="56"/>
      <c r="K5" s="56"/>
      <c r="L5" s="1"/>
    </row>
    <row r="6" spans="1:13" x14ac:dyDescent="0.25">
      <c r="B6" s="1"/>
      <c r="C6" s="1"/>
      <c r="D6" s="1"/>
      <c r="E6" s="1"/>
      <c r="F6" s="1"/>
      <c r="G6" s="1"/>
      <c r="H6" s="1"/>
      <c r="I6" s="102" t="s">
        <v>275</v>
      </c>
      <c r="J6" s="102" t="s">
        <v>275</v>
      </c>
      <c r="K6" s="102" t="s">
        <v>275</v>
      </c>
      <c r="L6" s="61"/>
    </row>
    <row r="8" spans="1:13" x14ac:dyDescent="0.25">
      <c r="A8" s="63" t="s">
        <v>106</v>
      </c>
    </row>
    <row r="9" spans="1:13" x14ac:dyDescent="0.25">
      <c r="A9" s="63"/>
      <c r="B9" s="1" t="s">
        <v>2</v>
      </c>
      <c r="I9" s="107">
        <v>3806023.46</v>
      </c>
    </row>
    <row r="10" spans="1:13" x14ac:dyDescent="0.25">
      <c r="A10" s="63"/>
      <c r="B10" s="1" t="s">
        <v>109</v>
      </c>
      <c r="C10" s="1" t="s">
        <v>227</v>
      </c>
    </row>
    <row r="11" spans="1:13" x14ac:dyDescent="0.25">
      <c r="A11" s="63"/>
      <c r="B11" s="1"/>
      <c r="C11" s="1" t="s">
        <v>318</v>
      </c>
      <c r="I11" s="50">
        <v>0</v>
      </c>
    </row>
    <row r="12" spans="1:13" x14ac:dyDescent="0.25">
      <c r="A12" s="1"/>
      <c r="B12" s="1" t="s">
        <v>3</v>
      </c>
      <c r="C12" s="57" t="s">
        <v>6</v>
      </c>
      <c r="I12" s="50">
        <v>0</v>
      </c>
    </row>
    <row r="13" spans="1:13" x14ac:dyDescent="0.25">
      <c r="A13" s="1"/>
      <c r="B13" s="1"/>
      <c r="C13" s="1" t="s">
        <v>104</v>
      </c>
    </row>
    <row r="14" spans="1:13" x14ac:dyDescent="0.25">
      <c r="B14" s="1" t="s">
        <v>4</v>
      </c>
      <c r="C14" s="1" t="s">
        <v>336</v>
      </c>
      <c r="I14" s="65"/>
      <c r="J14" s="50">
        <f>I9+I11+I13-I14</f>
        <v>3806023.46</v>
      </c>
    </row>
    <row r="15" spans="1:13" x14ac:dyDescent="0.25">
      <c r="A15" s="1"/>
      <c r="B15" s="1"/>
      <c r="C15" s="1"/>
      <c r="E15" s="56"/>
      <c r="K15" s="111">
        <f>J14</f>
        <v>3806023.46</v>
      </c>
      <c r="L15" s="43"/>
    </row>
    <row r="16" spans="1:13" x14ac:dyDescent="0.25">
      <c r="A16" s="63" t="s">
        <v>171</v>
      </c>
      <c r="M16" s="64"/>
    </row>
    <row r="17" spans="1:13" x14ac:dyDescent="0.25">
      <c r="A17" s="63"/>
      <c r="B17" s="1" t="s">
        <v>2</v>
      </c>
      <c r="C17" s="1"/>
    </row>
    <row r="18" spans="1:13" x14ac:dyDescent="0.25">
      <c r="A18" s="63"/>
      <c r="B18" s="1" t="s">
        <v>3</v>
      </c>
      <c r="C18" s="1" t="s">
        <v>104</v>
      </c>
      <c r="I18" s="107">
        <v>-64994.86</v>
      </c>
    </row>
    <row r="19" spans="1:13" x14ac:dyDescent="0.25">
      <c r="A19" s="1"/>
      <c r="B19" s="1" t="s">
        <v>3</v>
      </c>
      <c r="C19" s="57" t="s">
        <v>107</v>
      </c>
      <c r="I19" s="65"/>
      <c r="M19" s="45" t="s">
        <v>516</v>
      </c>
    </row>
    <row r="20" spans="1:13" x14ac:dyDescent="0.25">
      <c r="A20" s="1"/>
      <c r="B20" s="1"/>
      <c r="C20" s="57" t="s">
        <v>185</v>
      </c>
      <c r="I20" s="50">
        <f>SUM(I17:I19)</f>
        <v>-64994.86</v>
      </c>
    </row>
    <row r="21" spans="1:13" x14ac:dyDescent="0.25">
      <c r="A21" s="1"/>
      <c r="B21" s="1" t="s">
        <v>4</v>
      </c>
      <c r="C21" s="57" t="s">
        <v>236</v>
      </c>
      <c r="I21" s="65"/>
      <c r="J21" s="50" t="s">
        <v>489</v>
      </c>
    </row>
    <row r="22" spans="1:13" x14ac:dyDescent="0.25">
      <c r="A22" s="1"/>
      <c r="B22" s="1"/>
      <c r="C22" s="1"/>
      <c r="I22" s="50">
        <f>I20-I21</f>
        <v>-64994.86</v>
      </c>
      <c r="L22" s="104">
        <v>3740128.61</v>
      </c>
      <c r="M22" s="45">
        <v>3740128.6</v>
      </c>
    </row>
    <row r="23" spans="1:13" x14ac:dyDescent="0.25">
      <c r="A23" s="1"/>
      <c r="B23" s="1" t="s">
        <v>4</v>
      </c>
      <c r="C23" s="1" t="s">
        <v>328</v>
      </c>
    </row>
    <row r="24" spans="1:13" x14ac:dyDescent="0.25">
      <c r="A24" s="1"/>
      <c r="B24" s="1"/>
      <c r="C24" s="1"/>
      <c r="I24" s="65"/>
      <c r="J24" s="65">
        <f>I22+I23</f>
        <v>-64994.86</v>
      </c>
      <c r="K24" s="111">
        <f>J24</f>
        <v>-64994.86</v>
      </c>
    </row>
    <row r="25" spans="1:13" x14ac:dyDescent="0.25">
      <c r="A25" s="63" t="s">
        <v>303</v>
      </c>
      <c r="B25" s="1"/>
      <c r="C25" s="1"/>
    </row>
    <row r="26" spans="1:13" x14ac:dyDescent="0.25">
      <c r="A26" s="63"/>
      <c r="B26" s="1" t="s">
        <v>2</v>
      </c>
      <c r="C26" s="1"/>
      <c r="I26" s="50">
        <f>22710000</f>
        <v>22710000</v>
      </c>
    </row>
    <row r="27" spans="1:13" x14ac:dyDescent="0.25">
      <c r="A27" s="63"/>
      <c r="B27" s="1" t="s">
        <v>109</v>
      </c>
      <c r="C27" s="1" t="s">
        <v>367</v>
      </c>
    </row>
    <row r="28" spans="1:13" x14ac:dyDescent="0.25">
      <c r="A28" s="63"/>
      <c r="B28" s="1" t="s">
        <v>109</v>
      </c>
      <c r="C28" s="1" t="s">
        <v>304</v>
      </c>
    </row>
    <row r="29" spans="1:13" x14ac:dyDescent="0.25">
      <c r="A29" s="63"/>
      <c r="B29" s="1"/>
      <c r="C29" s="1" t="s">
        <v>302</v>
      </c>
      <c r="M29" s="43"/>
    </row>
    <row r="30" spans="1:13" x14ac:dyDescent="0.25">
      <c r="A30" s="1"/>
      <c r="B30" s="1" t="s">
        <v>4</v>
      </c>
      <c r="C30" s="1" t="s">
        <v>356</v>
      </c>
    </row>
    <row r="31" spans="1:13" x14ac:dyDescent="0.25">
      <c r="A31" s="1"/>
      <c r="B31" s="1"/>
      <c r="C31" s="57" t="s">
        <v>318</v>
      </c>
      <c r="I31" s="65">
        <v>22710000</v>
      </c>
      <c r="J31" s="65">
        <f>I26+I29-I31</f>
        <v>0</v>
      </c>
      <c r="K31" s="50">
        <f>J31</f>
        <v>0</v>
      </c>
    </row>
    <row r="32" spans="1:13" x14ac:dyDescent="0.25">
      <c r="A32" s="63" t="s">
        <v>108</v>
      </c>
      <c r="M32" s="43"/>
    </row>
    <row r="34" spans="2:11" x14ac:dyDescent="0.25">
      <c r="B34" s="57" t="s">
        <v>18</v>
      </c>
      <c r="C34" s="1"/>
      <c r="D34" s="1"/>
    </row>
    <row r="35" spans="2:11" x14ac:dyDescent="0.25">
      <c r="B35" s="1" t="s">
        <v>2</v>
      </c>
      <c r="D35" s="1"/>
      <c r="I35" s="107">
        <v>436564.65</v>
      </c>
    </row>
    <row r="36" spans="2:11" x14ac:dyDescent="0.25">
      <c r="B36" s="1" t="s">
        <v>3</v>
      </c>
      <c r="C36" s="1" t="s">
        <v>186</v>
      </c>
      <c r="D36" s="1"/>
      <c r="I36" s="65">
        <v>0</v>
      </c>
      <c r="J36" s="50">
        <f>SUM(I35:I36)</f>
        <v>436564.65</v>
      </c>
    </row>
    <row r="37" spans="2:11" x14ac:dyDescent="0.25">
      <c r="B37" s="57" t="s">
        <v>19</v>
      </c>
      <c r="C37" s="1"/>
      <c r="D37" s="1"/>
    </row>
    <row r="38" spans="2:11" x14ac:dyDescent="0.25">
      <c r="B38" s="1" t="s">
        <v>2</v>
      </c>
      <c r="C38" s="1"/>
      <c r="I38" s="50">
        <v>0</v>
      </c>
    </row>
    <row r="39" spans="2:11" x14ac:dyDescent="0.25">
      <c r="B39" s="1" t="s">
        <v>3</v>
      </c>
      <c r="C39" s="57" t="s">
        <v>6</v>
      </c>
      <c r="I39" s="50" t="s">
        <v>181</v>
      </c>
    </row>
    <row r="40" spans="2:11" x14ac:dyDescent="0.25">
      <c r="B40" s="1"/>
      <c r="C40" s="1" t="s">
        <v>8</v>
      </c>
      <c r="I40" s="50">
        <f>I35*5.1%</f>
        <v>22264.797149999999</v>
      </c>
    </row>
    <row r="41" spans="2:11" x14ac:dyDescent="0.25">
      <c r="B41" s="1" t="s">
        <v>4</v>
      </c>
      <c r="C41" s="57" t="s">
        <v>293</v>
      </c>
      <c r="I41" s="65"/>
    </row>
    <row r="42" spans="2:11" x14ac:dyDescent="0.25">
      <c r="B42" s="1"/>
      <c r="C42" s="1"/>
      <c r="I42" s="50">
        <f>I38+I40-I41</f>
        <v>22264.797149999999</v>
      </c>
    </row>
    <row r="43" spans="2:11" x14ac:dyDescent="0.25">
      <c r="B43" s="1" t="s">
        <v>4</v>
      </c>
      <c r="C43" s="1" t="s">
        <v>184</v>
      </c>
    </row>
    <row r="44" spans="2:11" x14ac:dyDescent="0.25">
      <c r="B44" s="1"/>
      <c r="C44" s="1" t="s">
        <v>165</v>
      </c>
      <c r="I44" s="65">
        <v>0</v>
      </c>
      <c r="J44" s="65">
        <f>I42-I44</f>
        <v>22264.797149999999</v>
      </c>
      <c r="K44" s="109">
        <f>SUM(J36:J44)</f>
        <v>458829.44715000002</v>
      </c>
    </row>
    <row r="45" spans="2:11" x14ac:dyDescent="0.25">
      <c r="B45" s="1"/>
      <c r="C45" s="1"/>
    </row>
    <row r="46" spans="2:11" x14ac:dyDescent="0.25">
      <c r="B46" s="1"/>
      <c r="C46" s="1"/>
    </row>
    <row r="47" spans="2:11" x14ac:dyDescent="0.25">
      <c r="B47" s="57" t="s">
        <v>15</v>
      </c>
      <c r="C47" s="1"/>
      <c r="D47" s="1"/>
    </row>
    <row r="48" spans="2:11" x14ac:dyDescent="0.25">
      <c r="B48" s="1" t="s">
        <v>2</v>
      </c>
      <c r="D48" s="1"/>
      <c r="I48" s="107">
        <v>165575.43</v>
      </c>
    </row>
    <row r="49" spans="2:12" x14ac:dyDescent="0.25">
      <c r="B49" s="1" t="s">
        <v>109</v>
      </c>
      <c r="C49" s="1" t="s">
        <v>186</v>
      </c>
      <c r="I49" s="65">
        <v>0</v>
      </c>
      <c r="J49" s="50">
        <f>I48+I49</f>
        <v>165575.43</v>
      </c>
      <c r="L49" s="45">
        <f>147787+15838.53</f>
        <v>163625.53</v>
      </c>
    </row>
    <row r="50" spans="2:12" x14ac:dyDescent="0.25">
      <c r="B50" s="1"/>
      <c r="C50" s="1"/>
    </row>
    <row r="51" spans="2:12" x14ac:dyDescent="0.25">
      <c r="B51" s="57" t="s">
        <v>16</v>
      </c>
      <c r="C51" s="1"/>
      <c r="D51" s="1"/>
    </row>
    <row r="52" spans="2:12" x14ac:dyDescent="0.25">
      <c r="B52" s="1" t="s">
        <v>2</v>
      </c>
      <c r="C52" s="1"/>
      <c r="I52" s="50">
        <v>0</v>
      </c>
      <c r="L52" s="45">
        <v>7939.96</v>
      </c>
    </row>
    <row r="53" spans="2:12" x14ac:dyDescent="0.25">
      <c r="B53" s="1" t="s">
        <v>3</v>
      </c>
      <c r="C53" s="57" t="s">
        <v>6</v>
      </c>
      <c r="L53" s="45">
        <f>L49-L52</f>
        <v>155685.57</v>
      </c>
    </row>
    <row r="54" spans="2:12" x14ac:dyDescent="0.25">
      <c r="B54" s="1"/>
      <c r="C54" s="1" t="s">
        <v>7</v>
      </c>
      <c r="I54" s="65">
        <f>I48*5.1%</f>
        <v>8444.3469299999997</v>
      </c>
    </row>
    <row r="55" spans="2:12" x14ac:dyDescent="0.25">
      <c r="B55" s="1"/>
      <c r="C55" s="1"/>
      <c r="I55" s="50">
        <f>SUM(I52:I54)</f>
        <v>8444.3469299999997</v>
      </c>
    </row>
    <row r="56" spans="2:12" x14ac:dyDescent="0.25">
      <c r="B56" s="1" t="s">
        <v>4</v>
      </c>
      <c r="C56" s="57" t="s">
        <v>293</v>
      </c>
      <c r="I56" s="65"/>
    </row>
    <row r="57" spans="2:12" x14ac:dyDescent="0.25">
      <c r="B57" s="1"/>
      <c r="C57" s="1"/>
      <c r="I57" s="50">
        <f>I55-I56</f>
        <v>8444.3469299999997</v>
      </c>
    </row>
    <row r="58" spans="2:12" x14ac:dyDescent="0.25">
      <c r="B58" s="1" t="s">
        <v>4</v>
      </c>
      <c r="C58" s="1" t="s">
        <v>184</v>
      </c>
    </row>
    <row r="59" spans="2:12" x14ac:dyDescent="0.25">
      <c r="C59" s="1" t="s">
        <v>165</v>
      </c>
      <c r="I59" s="65">
        <v>0</v>
      </c>
      <c r="J59" s="65">
        <f>I57-I59</f>
        <v>8444.3469299999997</v>
      </c>
      <c r="K59" s="109">
        <f>SUM(J48:J59)</f>
        <v>174019.77692999999</v>
      </c>
    </row>
    <row r="60" spans="2:12" x14ac:dyDescent="0.25">
      <c r="B60" s="1"/>
      <c r="C60" s="1"/>
    </row>
    <row r="62" spans="2:12" x14ac:dyDescent="0.25">
      <c r="B62" s="57" t="s">
        <v>110</v>
      </c>
      <c r="C62" s="1"/>
      <c r="D62" s="1"/>
    </row>
    <row r="63" spans="2:12" x14ac:dyDescent="0.25">
      <c r="B63" s="1" t="s">
        <v>2</v>
      </c>
      <c r="D63" s="1"/>
      <c r="I63" s="107">
        <v>292632.69</v>
      </c>
    </row>
    <row r="64" spans="2:12" x14ac:dyDescent="0.25">
      <c r="B64" s="1" t="s">
        <v>3</v>
      </c>
      <c r="C64" s="1" t="s">
        <v>186</v>
      </c>
      <c r="D64" s="1"/>
      <c r="I64" s="65">
        <v>0</v>
      </c>
      <c r="J64" s="50">
        <f>SUM(I63:I64)</f>
        <v>292632.69</v>
      </c>
    </row>
    <row r="65" spans="2:12" x14ac:dyDescent="0.25">
      <c r="B65" s="57" t="s">
        <v>111</v>
      </c>
      <c r="C65" s="1"/>
      <c r="D65" s="1"/>
    </row>
    <row r="66" spans="2:12" x14ac:dyDescent="0.25">
      <c r="B66" s="1" t="s">
        <v>2</v>
      </c>
      <c r="C66" s="1"/>
      <c r="I66" s="50">
        <v>0</v>
      </c>
      <c r="L66" s="45">
        <f>261193.84+31438.85</f>
        <v>292632.69</v>
      </c>
    </row>
    <row r="67" spans="2:12" x14ac:dyDescent="0.25">
      <c r="B67" s="1" t="s">
        <v>3</v>
      </c>
      <c r="C67" s="57" t="s">
        <v>6</v>
      </c>
      <c r="L67" s="45">
        <f>L66*5.1/105.1</f>
        <v>14200.063929590864</v>
      </c>
    </row>
    <row r="68" spans="2:12" x14ac:dyDescent="0.25">
      <c r="B68" s="1"/>
      <c r="C68" s="1" t="s">
        <v>8</v>
      </c>
      <c r="I68" s="65">
        <f>I63*5.1%</f>
        <v>14924.267189999999</v>
      </c>
    </row>
    <row r="69" spans="2:12" x14ac:dyDescent="0.25">
      <c r="B69" s="1"/>
      <c r="C69" s="1"/>
      <c r="I69" s="50">
        <f>SUM(I66:I68)</f>
        <v>14924.267189999999</v>
      </c>
    </row>
    <row r="70" spans="2:12" x14ac:dyDescent="0.25">
      <c r="B70" s="1" t="s">
        <v>4</v>
      </c>
      <c r="C70" s="57" t="s">
        <v>292</v>
      </c>
      <c r="I70" s="65"/>
    </row>
    <row r="71" spans="2:12" x14ac:dyDescent="0.25">
      <c r="B71" s="1"/>
      <c r="C71" s="57"/>
      <c r="I71" s="50">
        <f>I69-I70</f>
        <v>14924.267189999999</v>
      </c>
    </row>
    <row r="72" spans="2:12" x14ac:dyDescent="0.25">
      <c r="B72" s="1" t="s">
        <v>4</v>
      </c>
      <c r="C72" s="1" t="s">
        <v>187</v>
      </c>
    </row>
    <row r="73" spans="2:12" x14ac:dyDescent="0.25">
      <c r="B73" s="1"/>
      <c r="C73" s="1" t="s">
        <v>165</v>
      </c>
      <c r="I73" s="65">
        <v>0</v>
      </c>
      <c r="J73" s="65">
        <f>I71-I73</f>
        <v>14924.267189999999</v>
      </c>
      <c r="K73" s="109">
        <f>SUM(J64:J73)</f>
        <v>307556.95718999999</v>
      </c>
    </row>
    <row r="74" spans="2:12" x14ac:dyDescent="0.25">
      <c r="B74" s="1"/>
      <c r="C74" s="1"/>
    </row>
    <row r="75" spans="2:12" x14ac:dyDescent="0.25">
      <c r="B75" s="1"/>
      <c r="C75" s="1"/>
    </row>
    <row r="76" spans="2:12" x14ac:dyDescent="0.25">
      <c r="B76" s="57" t="s">
        <v>252</v>
      </c>
      <c r="C76" s="1"/>
    </row>
    <row r="77" spans="2:12" x14ac:dyDescent="0.25">
      <c r="B77" s="1" t="s">
        <v>2</v>
      </c>
      <c r="I77" s="50">
        <v>351687.99</v>
      </c>
    </row>
    <row r="78" spans="2:12" x14ac:dyDescent="0.25">
      <c r="B78" s="1" t="s">
        <v>3</v>
      </c>
      <c r="C78" s="45" t="s">
        <v>115</v>
      </c>
      <c r="I78" s="65">
        <v>0</v>
      </c>
      <c r="J78" s="50">
        <f>SUM(I77:I78)</f>
        <v>351687.99</v>
      </c>
    </row>
    <row r="79" spans="2:12" x14ac:dyDescent="0.25">
      <c r="B79" s="57" t="s">
        <v>253</v>
      </c>
      <c r="C79" s="1"/>
      <c r="D79" s="1"/>
    </row>
    <row r="80" spans="2:12" x14ac:dyDescent="0.25">
      <c r="B80" s="1" t="s">
        <v>2</v>
      </c>
      <c r="C80" s="1"/>
      <c r="I80" s="50">
        <v>0</v>
      </c>
    </row>
    <row r="81" spans="2:12" x14ac:dyDescent="0.25">
      <c r="B81" s="1" t="s">
        <v>3</v>
      </c>
      <c r="C81" s="57" t="s">
        <v>6</v>
      </c>
      <c r="L81" s="45">
        <f>331913.04+37711.04</f>
        <v>369624.07999999996</v>
      </c>
    </row>
    <row r="82" spans="2:12" x14ac:dyDescent="0.25">
      <c r="B82" s="1"/>
      <c r="C82" s="1" t="s">
        <v>8</v>
      </c>
      <c r="I82" s="65">
        <f>I77*5.1%</f>
        <v>17936.087489999998</v>
      </c>
      <c r="L82" s="45">
        <f>L81*5.1/105.1</f>
        <v>17936.087611798284</v>
      </c>
    </row>
    <row r="83" spans="2:12" x14ac:dyDescent="0.25">
      <c r="B83" s="1"/>
      <c r="C83" s="1"/>
      <c r="I83" s="50">
        <f>SUM(I80:I82)</f>
        <v>17936.087489999998</v>
      </c>
      <c r="L83" s="45">
        <f>L81-L82</f>
        <v>351687.99238820164</v>
      </c>
    </row>
    <row r="84" spans="2:12" x14ac:dyDescent="0.25">
      <c r="B84" s="1" t="s">
        <v>4</v>
      </c>
      <c r="C84" s="57" t="s">
        <v>292</v>
      </c>
      <c r="I84" s="65">
        <v>0</v>
      </c>
    </row>
    <row r="85" spans="2:12" x14ac:dyDescent="0.25">
      <c r="B85" s="1"/>
      <c r="C85" s="1"/>
      <c r="I85" s="50">
        <f>I83-I84</f>
        <v>17936.087489999998</v>
      </c>
    </row>
    <row r="86" spans="2:12" x14ac:dyDescent="0.25">
      <c r="B86" s="1" t="s">
        <v>4</v>
      </c>
      <c r="C86" s="1" t="s">
        <v>184</v>
      </c>
    </row>
    <row r="87" spans="2:12" x14ac:dyDescent="0.25">
      <c r="B87" s="1"/>
      <c r="C87" s="1" t="s">
        <v>165</v>
      </c>
      <c r="I87" s="65">
        <v>0</v>
      </c>
      <c r="J87" s="65">
        <f>I85-I87</f>
        <v>17936.087489999998</v>
      </c>
      <c r="K87" s="109">
        <f>SUM(J78:J87)</f>
        <v>369624.07749</v>
      </c>
    </row>
    <row r="88" spans="2:12" x14ac:dyDescent="0.25">
      <c r="B88" s="1"/>
      <c r="C88" s="1"/>
    </row>
    <row r="90" spans="2:12" x14ac:dyDescent="0.25">
      <c r="B90" s="57" t="s">
        <v>112</v>
      </c>
      <c r="C90" s="1"/>
      <c r="D90" s="1"/>
    </row>
    <row r="91" spans="2:12" x14ac:dyDescent="0.25">
      <c r="B91" s="1" t="s">
        <v>2</v>
      </c>
      <c r="D91" s="1"/>
      <c r="I91" s="50">
        <v>222624.29</v>
      </c>
      <c r="L91" s="45">
        <f>22458.16+211519.97</f>
        <v>233978.13</v>
      </c>
    </row>
    <row r="92" spans="2:12" x14ac:dyDescent="0.25">
      <c r="B92" s="1" t="s">
        <v>3</v>
      </c>
      <c r="C92" s="45" t="s">
        <v>6</v>
      </c>
      <c r="D92" s="1"/>
      <c r="I92" s="50">
        <v>0</v>
      </c>
      <c r="L92" s="45">
        <f>L91*5.1/105.1</f>
        <v>11353.83884871551</v>
      </c>
    </row>
    <row r="93" spans="2:12" x14ac:dyDescent="0.25">
      <c r="B93" s="1" t="s">
        <v>3</v>
      </c>
      <c r="C93" s="1" t="s">
        <v>186</v>
      </c>
      <c r="D93" s="1"/>
      <c r="I93" s="65">
        <v>0</v>
      </c>
      <c r="J93" s="50">
        <f>SUM(I91:I93)</f>
        <v>222624.29</v>
      </c>
      <c r="L93" s="45">
        <f>L91-L92</f>
        <v>222624.2911512845</v>
      </c>
    </row>
    <row r="94" spans="2:12" x14ac:dyDescent="0.25">
      <c r="B94" s="57" t="s">
        <v>174</v>
      </c>
      <c r="C94" s="1"/>
      <c r="D94" s="1"/>
    </row>
    <row r="95" spans="2:12" x14ac:dyDescent="0.25">
      <c r="B95" s="1" t="s">
        <v>2</v>
      </c>
      <c r="C95" s="1"/>
      <c r="I95" s="50">
        <v>0</v>
      </c>
    </row>
    <row r="96" spans="2:12" x14ac:dyDescent="0.25">
      <c r="B96" s="1" t="s">
        <v>3</v>
      </c>
      <c r="C96" s="57" t="s">
        <v>6</v>
      </c>
    </row>
    <row r="97" spans="2:12" x14ac:dyDescent="0.25">
      <c r="B97" s="1"/>
      <c r="C97" s="1" t="s">
        <v>7</v>
      </c>
      <c r="I97" s="65">
        <f>I91*5.1%</f>
        <v>11353.83879</v>
      </c>
    </row>
    <row r="98" spans="2:12" x14ac:dyDescent="0.25">
      <c r="B98" s="1"/>
      <c r="C98" s="1"/>
      <c r="I98" s="50">
        <f>I97+I95</f>
        <v>11353.83879</v>
      </c>
    </row>
    <row r="99" spans="2:12" x14ac:dyDescent="0.25">
      <c r="B99" s="1" t="s">
        <v>4</v>
      </c>
      <c r="C99" s="57" t="s">
        <v>248</v>
      </c>
    </row>
    <row r="100" spans="2:12" x14ac:dyDescent="0.25">
      <c r="B100" s="1"/>
      <c r="C100" s="1"/>
      <c r="I100" s="66">
        <f>I98-I99</f>
        <v>11353.83879</v>
      </c>
    </row>
    <row r="101" spans="2:12" x14ac:dyDescent="0.25">
      <c r="B101" s="1" t="s">
        <v>4</v>
      </c>
      <c r="C101" s="1" t="s">
        <v>187</v>
      </c>
    </row>
    <row r="102" spans="2:12" x14ac:dyDescent="0.25">
      <c r="B102" s="1"/>
      <c r="C102" s="1" t="s">
        <v>165</v>
      </c>
      <c r="I102" s="65">
        <v>0</v>
      </c>
      <c r="J102" s="65">
        <f>I100-I102</f>
        <v>11353.83879</v>
      </c>
      <c r="K102" s="109">
        <f>SUM(J93:J102)</f>
        <v>233978.12879000002</v>
      </c>
    </row>
    <row r="105" spans="2:12" x14ac:dyDescent="0.25">
      <c r="B105" s="57" t="s">
        <v>20</v>
      </c>
      <c r="C105" s="1"/>
      <c r="D105" s="1"/>
    </row>
    <row r="106" spans="2:12" x14ac:dyDescent="0.25">
      <c r="B106" s="1" t="s">
        <v>2</v>
      </c>
      <c r="D106" s="1"/>
      <c r="I106" s="50">
        <v>259323.69</v>
      </c>
    </row>
    <row r="107" spans="2:12" x14ac:dyDescent="0.25">
      <c r="B107" s="1" t="s">
        <v>3</v>
      </c>
      <c r="C107" s="1" t="s">
        <v>186</v>
      </c>
      <c r="D107" s="1"/>
      <c r="I107" s="65">
        <v>0</v>
      </c>
      <c r="J107" s="50">
        <f>SUM(I106:I107)</f>
        <v>259323.69</v>
      </c>
    </row>
    <row r="108" spans="2:12" x14ac:dyDescent="0.25">
      <c r="B108" s="57" t="s">
        <v>21</v>
      </c>
      <c r="C108" s="1"/>
      <c r="D108" s="1"/>
      <c r="L108" s="43"/>
    </row>
    <row r="109" spans="2:12" x14ac:dyDescent="0.25">
      <c r="B109" s="1" t="s">
        <v>2</v>
      </c>
      <c r="C109" s="1"/>
      <c r="I109" s="50">
        <v>0</v>
      </c>
      <c r="L109" s="45">
        <f>243268+29281.2</f>
        <v>272549.2</v>
      </c>
    </row>
    <row r="110" spans="2:12" x14ac:dyDescent="0.25">
      <c r="B110" s="1" t="s">
        <v>3</v>
      </c>
      <c r="C110" s="57" t="s">
        <v>6</v>
      </c>
    </row>
    <row r="111" spans="2:12" x14ac:dyDescent="0.25">
      <c r="B111" s="1"/>
      <c r="C111" s="1" t="s">
        <v>7</v>
      </c>
      <c r="I111" s="65">
        <f>I106*5.1%</f>
        <v>13225.508189999999</v>
      </c>
    </row>
    <row r="112" spans="2:12" x14ac:dyDescent="0.25">
      <c r="B112" s="1"/>
      <c r="C112" s="1"/>
      <c r="I112" s="50">
        <f>SUM(I109:I111)</f>
        <v>13225.508189999999</v>
      </c>
    </row>
    <row r="113" spans="1:12" x14ac:dyDescent="0.25">
      <c r="B113" s="1" t="s">
        <v>4</v>
      </c>
      <c r="C113" s="57" t="s">
        <v>248</v>
      </c>
      <c r="I113" s="65">
        <v>0</v>
      </c>
    </row>
    <row r="114" spans="1:12" x14ac:dyDescent="0.25">
      <c r="B114" s="1"/>
      <c r="C114" s="57"/>
      <c r="I114" s="50">
        <f>I112-I113</f>
        <v>13225.508189999999</v>
      </c>
    </row>
    <row r="115" spans="1:12" x14ac:dyDescent="0.25">
      <c r="B115" s="1" t="s">
        <v>4</v>
      </c>
      <c r="C115" s="1" t="s">
        <v>184</v>
      </c>
    </row>
    <row r="116" spans="1:12" x14ac:dyDescent="0.25">
      <c r="C116" s="1" t="s">
        <v>166</v>
      </c>
      <c r="I116" s="65">
        <v>0</v>
      </c>
      <c r="J116" s="65">
        <f>I114-I116</f>
        <v>13225.508189999999</v>
      </c>
      <c r="K116" s="109">
        <f>SUM(J107:J116)</f>
        <v>272549.19819000002</v>
      </c>
    </row>
    <row r="117" spans="1:12" x14ac:dyDescent="0.25">
      <c r="C117" s="1"/>
    </row>
    <row r="119" spans="1:12" x14ac:dyDescent="0.25">
      <c r="A119" s="63" t="s">
        <v>114</v>
      </c>
    </row>
    <row r="121" spans="1:12" x14ac:dyDescent="0.25">
      <c r="B121" s="57" t="s">
        <v>13</v>
      </c>
      <c r="C121" s="1"/>
      <c r="D121" s="1"/>
      <c r="E121" s="1"/>
    </row>
    <row r="122" spans="1:12" x14ac:dyDescent="0.25">
      <c r="B122" s="1" t="s">
        <v>2</v>
      </c>
      <c r="D122" s="1"/>
      <c r="E122" s="1"/>
      <c r="I122" s="50">
        <v>157470.45000000001</v>
      </c>
    </row>
    <row r="123" spans="1:12" x14ac:dyDescent="0.25">
      <c r="B123" s="1" t="s">
        <v>3</v>
      </c>
      <c r="C123" s="57" t="s">
        <v>6</v>
      </c>
      <c r="D123" s="1"/>
      <c r="E123" s="1"/>
    </row>
    <row r="124" spans="1:12" x14ac:dyDescent="0.25">
      <c r="B124" s="1"/>
      <c r="C124" s="1" t="s">
        <v>186</v>
      </c>
      <c r="D124" s="1"/>
      <c r="E124" s="1"/>
      <c r="I124" s="65">
        <v>0</v>
      </c>
      <c r="J124" s="50">
        <f>I122+I124</f>
        <v>157470.45000000001</v>
      </c>
    </row>
    <row r="125" spans="1:12" x14ac:dyDescent="0.25">
      <c r="B125" s="57" t="s">
        <v>14</v>
      </c>
      <c r="C125" s="1"/>
      <c r="D125" s="1"/>
      <c r="E125" s="1"/>
    </row>
    <row r="126" spans="1:12" x14ac:dyDescent="0.25">
      <c r="B126" s="1" t="s">
        <v>2</v>
      </c>
      <c r="C126" s="1"/>
      <c r="E126" s="1"/>
      <c r="I126" s="50">
        <v>0</v>
      </c>
    </row>
    <row r="127" spans="1:12" x14ac:dyDescent="0.25">
      <c r="B127" s="1" t="s">
        <v>3</v>
      </c>
      <c r="C127" s="57" t="s">
        <v>6</v>
      </c>
      <c r="E127" s="1"/>
    </row>
    <row r="128" spans="1:12" x14ac:dyDescent="0.25">
      <c r="B128" s="1"/>
      <c r="C128" s="1" t="s">
        <v>8</v>
      </c>
      <c r="E128" s="1"/>
      <c r="I128" s="65">
        <f>I122*5.1%</f>
        <v>8030.9929499999998</v>
      </c>
      <c r="L128" s="45">
        <f>156648+8853.44</f>
        <v>165501.44</v>
      </c>
    </row>
    <row r="129" spans="1:12" x14ac:dyDescent="0.25">
      <c r="B129" s="1"/>
      <c r="C129" s="1"/>
      <c r="E129" s="1"/>
      <c r="I129" s="50">
        <f>SUM(I126:I128)</f>
        <v>8030.9929499999998</v>
      </c>
      <c r="L129" s="45">
        <f>L128*5.1/105.1</f>
        <v>8030.9928068506179</v>
      </c>
    </row>
    <row r="130" spans="1:12" x14ac:dyDescent="0.25">
      <c r="B130" s="1" t="s">
        <v>4</v>
      </c>
      <c r="C130" s="57" t="s">
        <v>113</v>
      </c>
      <c r="E130" s="1"/>
      <c r="I130" s="65"/>
      <c r="L130" s="45">
        <f>L128-L129</f>
        <v>157470.44719314939</v>
      </c>
    </row>
    <row r="131" spans="1:12" x14ac:dyDescent="0.25">
      <c r="B131" s="1"/>
      <c r="C131" s="1"/>
      <c r="E131" s="1"/>
      <c r="I131" s="50">
        <f>I129-I130</f>
        <v>8030.9929499999998</v>
      </c>
    </row>
    <row r="132" spans="1:12" x14ac:dyDescent="0.25">
      <c r="B132" s="1" t="s">
        <v>4</v>
      </c>
      <c r="C132" s="1" t="s">
        <v>255</v>
      </c>
      <c r="E132" s="1"/>
    </row>
    <row r="133" spans="1:12" x14ac:dyDescent="0.25">
      <c r="C133" s="1" t="s">
        <v>256</v>
      </c>
      <c r="E133" s="1"/>
      <c r="I133" s="65">
        <v>0</v>
      </c>
      <c r="J133" s="65">
        <f>I131-I133</f>
        <v>8030.9929499999998</v>
      </c>
      <c r="K133" s="109">
        <f>SUM(J122:J133)</f>
        <v>165501.44295</v>
      </c>
    </row>
    <row r="135" spans="1:12" x14ac:dyDescent="0.25">
      <c r="B135" s="57" t="s">
        <v>175</v>
      </c>
      <c r="C135" s="1"/>
      <c r="D135" s="1"/>
    </row>
    <row r="136" spans="1:12" x14ac:dyDescent="0.25">
      <c r="B136" s="1" t="s">
        <v>2</v>
      </c>
      <c r="C136" s="1"/>
      <c r="D136" s="1"/>
      <c r="I136" s="50">
        <v>231704.71</v>
      </c>
    </row>
    <row r="137" spans="1:12" x14ac:dyDescent="0.25">
      <c r="A137" s="1"/>
      <c r="B137" s="1" t="s">
        <v>3</v>
      </c>
      <c r="C137" s="1" t="s">
        <v>115</v>
      </c>
      <c r="D137" s="1"/>
      <c r="I137" s="65">
        <v>0</v>
      </c>
      <c r="J137" s="50">
        <f>SUM(I136:I137)</f>
        <v>231704.71</v>
      </c>
    </row>
    <row r="138" spans="1:12" x14ac:dyDescent="0.25">
      <c r="B138" s="57" t="s">
        <v>176</v>
      </c>
      <c r="C138" s="1"/>
      <c r="D138" s="1"/>
    </row>
    <row r="139" spans="1:12" x14ac:dyDescent="0.25">
      <c r="B139" s="1" t="s">
        <v>2</v>
      </c>
      <c r="C139" s="1"/>
      <c r="D139" s="1"/>
      <c r="I139" s="50">
        <v>0</v>
      </c>
    </row>
    <row r="140" spans="1:12" x14ac:dyDescent="0.25">
      <c r="A140" s="1"/>
      <c r="B140" s="1" t="s">
        <v>3</v>
      </c>
      <c r="C140" s="57" t="s">
        <v>6</v>
      </c>
      <c r="D140" s="1"/>
    </row>
    <row r="141" spans="1:12" x14ac:dyDescent="0.25">
      <c r="A141" s="1"/>
      <c r="B141" s="1"/>
      <c r="C141" s="1" t="s">
        <v>8</v>
      </c>
      <c r="D141" s="1"/>
      <c r="I141" s="65">
        <f>I136*5.1%</f>
        <v>11816.940209999999</v>
      </c>
    </row>
    <row r="142" spans="1:12" x14ac:dyDescent="0.25">
      <c r="A142" s="1"/>
      <c r="B142" s="1"/>
      <c r="C142" s="1"/>
      <c r="D142" s="1"/>
      <c r="I142" s="50">
        <f>I139+I141</f>
        <v>11816.940209999999</v>
      </c>
      <c r="L142" s="45">
        <f>224577.96+18943.69</f>
        <v>243521.65</v>
      </c>
    </row>
    <row r="143" spans="1:12" x14ac:dyDescent="0.25">
      <c r="A143" s="1"/>
      <c r="B143" s="1" t="s">
        <v>244</v>
      </c>
      <c r="C143" s="57" t="s">
        <v>229</v>
      </c>
      <c r="D143" s="1"/>
      <c r="I143" s="65"/>
      <c r="L143" s="45">
        <f>L142*5.1/105.1</f>
        <v>11816.940199809704</v>
      </c>
    </row>
    <row r="144" spans="1:12" x14ac:dyDescent="0.25">
      <c r="A144" s="1"/>
      <c r="B144" s="1"/>
      <c r="C144" s="1"/>
      <c r="D144" s="1"/>
      <c r="I144" s="50">
        <f>I142-I143</f>
        <v>11816.940209999999</v>
      </c>
      <c r="L144" s="45">
        <f>L142-L143</f>
        <v>231704.70980019029</v>
      </c>
    </row>
    <row r="145" spans="1:13" x14ac:dyDescent="0.25">
      <c r="A145" s="1"/>
      <c r="B145" s="1" t="s">
        <v>4</v>
      </c>
      <c r="C145" s="1" t="s">
        <v>184</v>
      </c>
      <c r="D145" s="1"/>
    </row>
    <row r="146" spans="1:13" x14ac:dyDescent="0.25">
      <c r="A146" s="1"/>
      <c r="B146" s="1"/>
      <c r="C146" s="1" t="s">
        <v>164</v>
      </c>
      <c r="D146" s="1"/>
      <c r="I146" s="65">
        <v>0</v>
      </c>
      <c r="J146" s="65">
        <f>I144-I146</f>
        <v>11816.940209999999</v>
      </c>
      <c r="K146" s="109">
        <f>SUM(J137:J146)</f>
        <v>243521.65020999999</v>
      </c>
    </row>
    <row r="148" spans="1:13" x14ac:dyDescent="0.25">
      <c r="B148" s="57" t="s">
        <v>162</v>
      </c>
      <c r="C148" s="1"/>
      <c r="D148" s="1"/>
    </row>
    <row r="149" spans="1:13" x14ac:dyDescent="0.25">
      <c r="B149" s="1" t="s">
        <v>2</v>
      </c>
      <c r="D149" s="1"/>
      <c r="I149" s="50">
        <v>80129.09</v>
      </c>
    </row>
    <row r="150" spans="1:13" x14ac:dyDescent="0.25">
      <c r="B150" s="1" t="s">
        <v>3</v>
      </c>
      <c r="C150" s="1" t="s">
        <v>115</v>
      </c>
      <c r="D150" s="1"/>
      <c r="I150" s="65">
        <v>0</v>
      </c>
      <c r="J150" s="50">
        <f>I149+I150</f>
        <v>80129.09</v>
      </c>
    </row>
    <row r="151" spans="1:13" x14ac:dyDescent="0.25">
      <c r="B151" s="57" t="s">
        <v>163</v>
      </c>
      <c r="C151" s="1"/>
      <c r="D151" s="1"/>
    </row>
    <row r="152" spans="1:13" x14ac:dyDescent="0.25">
      <c r="B152" s="1" t="s">
        <v>2</v>
      </c>
      <c r="C152" s="1"/>
      <c r="I152" s="50">
        <v>0</v>
      </c>
      <c r="M152" s="45">
        <f>75168+9047.67</f>
        <v>84215.67</v>
      </c>
    </row>
    <row r="153" spans="1:13" x14ac:dyDescent="0.25">
      <c r="B153" s="1" t="s">
        <v>3</v>
      </c>
      <c r="C153" s="57" t="s">
        <v>6</v>
      </c>
      <c r="M153" s="45">
        <f>M152*5.1/105.1</f>
        <v>4086.5834157944814</v>
      </c>
    </row>
    <row r="154" spans="1:13" x14ac:dyDescent="0.25">
      <c r="B154" s="1"/>
      <c r="C154" s="1" t="s">
        <v>8</v>
      </c>
      <c r="I154" s="65">
        <f>I149*5.1%</f>
        <v>4086.5835899999997</v>
      </c>
      <c r="K154" s="50" t="s">
        <v>181</v>
      </c>
      <c r="M154" s="45">
        <f>M152-M153</f>
        <v>80129.086584205521</v>
      </c>
    </row>
    <row r="155" spans="1:13" x14ac:dyDescent="0.25">
      <c r="B155" s="1"/>
      <c r="C155" s="1"/>
      <c r="I155" s="50">
        <f>I152+I154</f>
        <v>4086.5835899999997</v>
      </c>
    </row>
    <row r="156" spans="1:13" x14ac:dyDescent="0.25">
      <c r="B156" s="1" t="s">
        <v>4</v>
      </c>
      <c r="C156" s="57" t="s">
        <v>113</v>
      </c>
      <c r="I156" s="65"/>
    </row>
    <row r="157" spans="1:13" x14ac:dyDescent="0.25">
      <c r="B157" s="1"/>
      <c r="C157" s="1"/>
      <c r="I157" s="50">
        <f>I155-I156</f>
        <v>4086.5835899999997</v>
      </c>
    </row>
    <row r="158" spans="1:13" x14ac:dyDescent="0.25">
      <c r="B158" s="1" t="s">
        <v>4</v>
      </c>
      <c r="C158" s="1" t="s">
        <v>184</v>
      </c>
    </row>
    <row r="159" spans="1:13" x14ac:dyDescent="0.25">
      <c r="C159" s="1" t="s">
        <v>164</v>
      </c>
      <c r="I159" s="65">
        <v>0</v>
      </c>
      <c r="J159" s="65">
        <f>I157-I159</f>
        <v>4086.5835899999997</v>
      </c>
      <c r="K159" s="109">
        <f>SUM(J149:J159)</f>
        <v>84215.673589999991</v>
      </c>
    </row>
    <row r="161" spans="2:12" x14ac:dyDescent="0.25">
      <c r="B161" s="57" t="s">
        <v>26</v>
      </c>
      <c r="C161" s="1"/>
      <c r="D161" s="1"/>
    </row>
    <row r="162" spans="2:12" x14ac:dyDescent="0.25">
      <c r="B162" s="1" t="s">
        <v>2</v>
      </c>
      <c r="D162" s="1"/>
      <c r="I162" s="50">
        <v>91196.3</v>
      </c>
      <c r="L162" s="45">
        <f>85550+10297.31</f>
        <v>95847.31</v>
      </c>
    </row>
    <row r="163" spans="2:12" x14ac:dyDescent="0.25">
      <c r="B163" s="1" t="s">
        <v>3</v>
      </c>
      <c r="C163" s="1" t="s">
        <v>115</v>
      </c>
      <c r="D163" s="1"/>
      <c r="I163" s="65">
        <v>0</v>
      </c>
      <c r="J163" s="50">
        <f>I162+I163</f>
        <v>91196.3</v>
      </c>
    </row>
    <row r="164" spans="2:12" x14ac:dyDescent="0.25">
      <c r="B164" s="57" t="s">
        <v>27</v>
      </c>
      <c r="C164" s="1"/>
      <c r="D164" s="1"/>
    </row>
    <row r="165" spans="2:12" x14ac:dyDescent="0.25">
      <c r="B165" s="1" t="s">
        <v>2</v>
      </c>
      <c r="C165" s="1"/>
      <c r="I165" s="50">
        <v>0</v>
      </c>
    </row>
    <row r="166" spans="2:12" x14ac:dyDescent="0.25">
      <c r="B166" s="1" t="s">
        <v>3</v>
      </c>
      <c r="C166" s="57" t="s">
        <v>6</v>
      </c>
    </row>
    <row r="167" spans="2:12" x14ac:dyDescent="0.25">
      <c r="B167" s="1"/>
      <c r="C167" s="1" t="s">
        <v>8</v>
      </c>
      <c r="I167" s="65">
        <f>I162*5.1%</f>
        <v>4651.0113000000001</v>
      </c>
    </row>
    <row r="168" spans="2:12" x14ac:dyDescent="0.25">
      <c r="B168" s="1" t="s">
        <v>4</v>
      </c>
      <c r="C168" s="57" t="s">
        <v>113</v>
      </c>
    </row>
    <row r="169" spans="2:12" x14ac:dyDescent="0.25">
      <c r="B169" s="1"/>
      <c r="C169" s="57"/>
      <c r="I169" s="50">
        <v>0</v>
      </c>
    </row>
    <row r="170" spans="2:12" x14ac:dyDescent="0.25">
      <c r="B170" s="1" t="s">
        <v>4</v>
      </c>
      <c r="C170" s="1" t="s">
        <v>184</v>
      </c>
    </row>
    <row r="171" spans="2:12" x14ac:dyDescent="0.25">
      <c r="C171" s="1" t="s">
        <v>257</v>
      </c>
      <c r="I171" s="65">
        <v>0</v>
      </c>
      <c r="J171" s="65">
        <f>I165+I167-I168</f>
        <v>4651.0113000000001</v>
      </c>
      <c r="K171" s="109">
        <f>SUM(J162:J171)</f>
        <v>95847.311300000001</v>
      </c>
    </row>
    <row r="173" spans="2:12" x14ac:dyDescent="0.25">
      <c r="B173" s="57" t="s">
        <v>22</v>
      </c>
      <c r="C173" s="1"/>
      <c r="D173" s="1"/>
    </row>
    <row r="174" spans="2:12" x14ac:dyDescent="0.25">
      <c r="B174" s="1" t="s">
        <v>2</v>
      </c>
      <c r="D174" s="1"/>
      <c r="I174" s="50">
        <v>269110.42</v>
      </c>
    </row>
    <row r="175" spans="2:12" x14ac:dyDescent="0.25">
      <c r="B175" s="1" t="s">
        <v>3</v>
      </c>
      <c r="C175" s="57" t="s">
        <v>6</v>
      </c>
      <c r="D175" s="1"/>
    </row>
    <row r="176" spans="2:12" x14ac:dyDescent="0.25">
      <c r="B176" s="1" t="s">
        <v>3</v>
      </c>
      <c r="C176" s="45" t="s">
        <v>115</v>
      </c>
      <c r="D176" s="1"/>
      <c r="I176" s="65">
        <v>0</v>
      </c>
      <c r="J176" s="50">
        <f>SUM(I174:I176)</f>
        <v>269110.42</v>
      </c>
    </row>
    <row r="177" spans="2:12" x14ac:dyDescent="0.25">
      <c r="B177" s="57" t="s">
        <v>23</v>
      </c>
      <c r="C177" s="1"/>
      <c r="D177" s="1"/>
    </row>
    <row r="178" spans="2:12" x14ac:dyDescent="0.25">
      <c r="B178" s="1" t="s">
        <v>2</v>
      </c>
      <c r="C178" s="1"/>
      <c r="I178" s="50">
        <v>0</v>
      </c>
    </row>
    <row r="179" spans="2:12" x14ac:dyDescent="0.25">
      <c r="B179" s="1" t="s">
        <v>3</v>
      </c>
      <c r="C179" s="57" t="s">
        <v>6</v>
      </c>
      <c r="L179" s="45">
        <f>256911.62+25923.43</f>
        <v>282835.05</v>
      </c>
    </row>
    <row r="180" spans="2:12" x14ac:dyDescent="0.25">
      <c r="B180" s="1"/>
      <c r="C180" s="1" t="s">
        <v>8</v>
      </c>
      <c r="I180" s="65">
        <f>I174*5.1%</f>
        <v>13724.631419999998</v>
      </c>
      <c r="L180" s="45">
        <f>L179*5.1/105.1</f>
        <v>13724.631351094196</v>
      </c>
    </row>
    <row r="181" spans="2:12" x14ac:dyDescent="0.25">
      <c r="B181" s="1"/>
      <c r="C181" s="1"/>
      <c r="I181" s="50">
        <f>SUM(I178:I180)</f>
        <v>13724.631419999998</v>
      </c>
      <c r="L181" s="45">
        <f>L179-L180</f>
        <v>269110.41864890582</v>
      </c>
    </row>
    <row r="182" spans="2:12" x14ac:dyDescent="0.25">
      <c r="B182" s="1" t="s">
        <v>4</v>
      </c>
      <c r="C182" s="57" t="s">
        <v>113</v>
      </c>
      <c r="I182" s="65">
        <v>0</v>
      </c>
    </row>
    <row r="183" spans="2:12" x14ac:dyDescent="0.25">
      <c r="B183" s="1"/>
      <c r="C183" s="1"/>
      <c r="I183" s="66">
        <f>I181-I182</f>
        <v>13724.631419999998</v>
      </c>
    </row>
    <row r="184" spans="2:12" x14ac:dyDescent="0.25">
      <c r="B184" s="1" t="s">
        <v>4</v>
      </c>
      <c r="C184" s="1" t="s">
        <v>184</v>
      </c>
    </row>
    <row r="185" spans="2:12" x14ac:dyDescent="0.25">
      <c r="C185" s="1" t="s">
        <v>166</v>
      </c>
      <c r="I185" s="65">
        <v>0</v>
      </c>
      <c r="J185" s="65">
        <f>I183-I185</f>
        <v>13724.631419999998</v>
      </c>
      <c r="K185" s="109">
        <f>SUM(J176:J185)</f>
        <v>282835.05141999997</v>
      </c>
    </row>
    <row r="187" spans="2:12" x14ac:dyDescent="0.25">
      <c r="B187" s="57" t="s">
        <v>117</v>
      </c>
      <c r="C187" s="1"/>
      <c r="D187" s="1"/>
    </row>
    <row r="188" spans="2:12" x14ac:dyDescent="0.25">
      <c r="B188" s="1" t="s">
        <v>2</v>
      </c>
      <c r="D188" s="1"/>
      <c r="I188" s="50">
        <v>412302.53</v>
      </c>
    </row>
    <row r="189" spans="2:12" x14ac:dyDescent="0.25">
      <c r="B189" s="1" t="s">
        <v>3</v>
      </c>
      <c r="C189" s="45" t="s">
        <v>115</v>
      </c>
      <c r="D189" s="1"/>
      <c r="I189" s="65">
        <v>0</v>
      </c>
      <c r="J189" s="50">
        <f>SUM(I188:I189)</f>
        <v>412302.53</v>
      </c>
    </row>
    <row r="190" spans="2:12" x14ac:dyDescent="0.25">
      <c r="B190" s="57" t="s">
        <v>118</v>
      </c>
      <c r="C190" s="1"/>
      <c r="D190" s="1"/>
    </row>
    <row r="191" spans="2:12" x14ac:dyDescent="0.25">
      <c r="B191" s="1" t="s">
        <v>2</v>
      </c>
      <c r="I191" s="50">
        <v>0</v>
      </c>
    </row>
    <row r="192" spans="2:12" x14ac:dyDescent="0.25">
      <c r="B192" s="1" t="s">
        <v>70</v>
      </c>
      <c r="C192" s="57" t="s">
        <v>6</v>
      </c>
    </row>
    <row r="193" spans="2:13" x14ac:dyDescent="0.25">
      <c r="B193" s="1"/>
      <c r="C193" s="1" t="s">
        <v>8</v>
      </c>
      <c r="I193" s="65">
        <f>I188*5.1%</f>
        <v>21027.429029999999</v>
      </c>
    </row>
    <row r="194" spans="2:13" x14ac:dyDescent="0.25">
      <c r="B194" s="1"/>
      <c r="C194" s="1"/>
      <c r="I194" s="50">
        <f>SUM(I191:I193)</f>
        <v>21027.429029999999</v>
      </c>
      <c r="M194" s="45">
        <f>386775.36+46554.6</f>
        <v>433329.95999999996</v>
      </c>
    </row>
    <row r="195" spans="2:13" x14ac:dyDescent="0.25">
      <c r="B195" s="1" t="s">
        <v>4</v>
      </c>
      <c r="C195" s="57" t="s">
        <v>113</v>
      </c>
      <c r="I195" s="65">
        <v>0</v>
      </c>
    </row>
    <row r="196" spans="2:13" x14ac:dyDescent="0.25">
      <c r="B196" s="1"/>
      <c r="C196" s="1"/>
      <c r="I196" s="50">
        <f>I194-I195</f>
        <v>21027.429029999999</v>
      </c>
    </row>
    <row r="197" spans="2:13" x14ac:dyDescent="0.25">
      <c r="B197" s="1" t="s">
        <v>4</v>
      </c>
      <c r="C197" s="1" t="s">
        <v>184</v>
      </c>
    </row>
    <row r="198" spans="2:13" x14ac:dyDescent="0.25">
      <c r="B198" s="1"/>
      <c r="C198" s="1" t="s">
        <v>165</v>
      </c>
      <c r="I198" s="65">
        <v>0</v>
      </c>
      <c r="J198" s="65">
        <f>I196-I198</f>
        <v>21027.429029999999</v>
      </c>
      <c r="K198" s="109">
        <f>SUM(J189:J198)</f>
        <v>433329.95903000003</v>
      </c>
    </row>
    <row r="200" spans="2:13" x14ac:dyDescent="0.25">
      <c r="B200" s="57" t="s">
        <v>32</v>
      </c>
      <c r="C200" s="1"/>
      <c r="D200" s="1"/>
    </row>
    <row r="201" spans="2:13" x14ac:dyDescent="0.25">
      <c r="B201" s="1" t="s">
        <v>2</v>
      </c>
      <c r="D201" s="1"/>
      <c r="I201" s="50">
        <v>246260.39</v>
      </c>
    </row>
    <row r="202" spans="2:13" x14ac:dyDescent="0.25">
      <c r="B202" s="1" t="s">
        <v>3</v>
      </c>
      <c r="C202" s="45" t="s">
        <v>115</v>
      </c>
      <c r="D202" s="1"/>
      <c r="I202" s="65">
        <v>0</v>
      </c>
      <c r="J202" s="50">
        <f>I201+I202</f>
        <v>246260.39</v>
      </c>
    </row>
    <row r="203" spans="2:13" x14ac:dyDescent="0.25">
      <c r="B203" s="57" t="s">
        <v>33</v>
      </c>
      <c r="C203" s="1"/>
      <c r="D203" s="1"/>
    </row>
    <row r="204" spans="2:13" x14ac:dyDescent="0.25">
      <c r="B204" s="1" t="s">
        <v>2</v>
      </c>
      <c r="C204" s="1"/>
      <c r="I204" s="50">
        <v>0</v>
      </c>
    </row>
    <row r="205" spans="2:13" x14ac:dyDescent="0.25">
      <c r="B205" s="1" t="s">
        <v>3</v>
      </c>
      <c r="C205" s="57" t="s">
        <v>6</v>
      </c>
    </row>
    <row r="206" spans="2:13" x14ac:dyDescent="0.25">
      <c r="B206" s="1"/>
      <c r="C206" s="1" t="s">
        <v>8</v>
      </c>
      <c r="I206" s="65">
        <f>I201*5.1%</f>
        <v>12559.27989</v>
      </c>
    </row>
    <row r="207" spans="2:13" x14ac:dyDescent="0.25">
      <c r="B207" s="1" t="s">
        <v>4</v>
      </c>
      <c r="C207" s="57" t="s">
        <v>113</v>
      </c>
      <c r="I207" s="65"/>
    </row>
    <row r="208" spans="2:13" x14ac:dyDescent="0.25">
      <c r="B208" s="1"/>
      <c r="C208" s="1"/>
      <c r="I208" s="50">
        <f>I204+I206-I207</f>
        <v>12559.27989</v>
      </c>
      <c r="L208" s="45">
        <f>231013.5+27806.17</f>
        <v>258819.66999999998</v>
      </c>
    </row>
    <row r="209" spans="2:11" x14ac:dyDescent="0.25">
      <c r="B209" s="1" t="s">
        <v>4</v>
      </c>
      <c r="C209" s="1" t="s">
        <v>184</v>
      </c>
    </row>
    <row r="210" spans="2:11" x14ac:dyDescent="0.25">
      <c r="C210" s="1" t="s">
        <v>258</v>
      </c>
      <c r="I210" s="65">
        <v>0</v>
      </c>
      <c r="J210" s="65">
        <f>I208-I210</f>
        <v>12559.27989</v>
      </c>
      <c r="K210" s="109">
        <f>SUM(J201:J210)</f>
        <v>258819.66989000002</v>
      </c>
    </row>
    <row r="211" spans="2:11" x14ac:dyDescent="0.25">
      <c r="C211" s="1"/>
    </row>
    <row r="212" spans="2:11" x14ac:dyDescent="0.25">
      <c r="B212" s="57" t="s">
        <v>41</v>
      </c>
      <c r="C212" s="1"/>
      <c r="D212" s="1"/>
    </row>
    <row r="213" spans="2:11" x14ac:dyDescent="0.25">
      <c r="B213" s="1" t="s">
        <v>2</v>
      </c>
      <c r="D213" s="1"/>
      <c r="I213" s="50">
        <v>88270</v>
      </c>
    </row>
    <row r="214" spans="2:11" x14ac:dyDescent="0.25">
      <c r="B214" s="1" t="s">
        <v>3</v>
      </c>
      <c r="C214" s="45" t="s">
        <v>115</v>
      </c>
      <c r="D214" s="1"/>
      <c r="I214" s="65">
        <v>0</v>
      </c>
      <c r="J214" s="50">
        <f>SUM(I213:I214)</f>
        <v>88270</v>
      </c>
    </row>
    <row r="215" spans="2:11" x14ac:dyDescent="0.25">
      <c r="B215" s="57" t="s">
        <v>64</v>
      </c>
      <c r="C215" s="1"/>
      <c r="D215" s="1"/>
    </row>
    <row r="216" spans="2:11" x14ac:dyDescent="0.25">
      <c r="B216" s="1" t="s">
        <v>2</v>
      </c>
      <c r="C216" s="1"/>
      <c r="I216" s="50">
        <v>0</v>
      </c>
    </row>
    <row r="217" spans="2:11" x14ac:dyDescent="0.25">
      <c r="B217" s="1" t="s">
        <v>70</v>
      </c>
      <c r="C217" s="57" t="s">
        <v>6</v>
      </c>
    </row>
    <row r="218" spans="2:11" x14ac:dyDescent="0.25">
      <c r="B218" s="1"/>
      <c r="C218" s="1" t="s">
        <v>8</v>
      </c>
      <c r="I218" s="65">
        <f>I213*5.1%</f>
        <v>4501.7699999999995</v>
      </c>
    </row>
    <row r="219" spans="2:11" x14ac:dyDescent="0.25">
      <c r="B219" s="1"/>
      <c r="C219" s="1"/>
      <c r="I219" s="50">
        <f>SUM(I216:I218)</f>
        <v>4501.7699999999995</v>
      </c>
    </row>
    <row r="220" spans="2:11" x14ac:dyDescent="0.25">
      <c r="B220" s="1" t="s">
        <v>71</v>
      </c>
      <c r="C220" s="57" t="s">
        <v>113</v>
      </c>
      <c r="I220" s="65">
        <v>0</v>
      </c>
    </row>
    <row r="221" spans="2:11" x14ac:dyDescent="0.25">
      <c r="B221" s="1"/>
      <c r="C221" s="1"/>
      <c r="I221" s="50">
        <f>I219-I220</f>
        <v>4501.7699999999995</v>
      </c>
    </row>
    <row r="222" spans="2:11" x14ac:dyDescent="0.25">
      <c r="B222" s="1" t="s">
        <v>4</v>
      </c>
      <c r="C222" s="1" t="s">
        <v>184</v>
      </c>
    </row>
    <row r="223" spans="2:11" x14ac:dyDescent="0.25">
      <c r="B223" s="1"/>
      <c r="C223" s="1" t="s">
        <v>165</v>
      </c>
      <c r="I223" s="65">
        <v>0</v>
      </c>
      <c r="J223" s="65">
        <f>I221-I223</f>
        <v>4501.7699999999995</v>
      </c>
      <c r="K223" s="109">
        <f>SUM(J214:J223)</f>
        <v>92771.77</v>
      </c>
    </row>
    <row r="225" spans="2:12" x14ac:dyDescent="0.25">
      <c r="B225" s="57" t="s">
        <v>93</v>
      </c>
      <c r="C225" s="1"/>
      <c r="D225" s="1"/>
    </row>
    <row r="226" spans="2:12" x14ac:dyDescent="0.25">
      <c r="B226" s="1" t="s">
        <v>2</v>
      </c>
      <c r="D226" s="1"/>
      <c r="I226" s="50">
        <v>185118.31</v>
      </c>
    </row>
    <row r="227" spans="2:12" x14ac:dyDescent="0.25">
      <c r="B227" s="1" t="s">
        <v>3</v>
      </c>
      <c r="C227" s="45" t="s">
        <v>115</v>
      </c>
      <c r="D227" s="1"/>
      <c r="I227" s="65">
        <v>0</v>
      </c>
      <c r="J227" s="50">
        <f>SUM(I226:I227)</f>
        <v>185118.31</v>
      </c>
    </row>
    <row r="228" spans="2:12" x14ac:dyDescent="0.25">
      <c r="B228" s="57" t="s">
        <v>72</v>
      </c>
      <c r="C228" s="1"/>
      <c r="D228" s="1"/>
    </row>
    <row r="229" spans="2:12" x14ac:dyDescent="0.25">
      <c r="B229" s="1" t="s">
        <v>2</v>
      </c>
      <c r="C229" s="1"/>
      <c r="I229" s="50">
        <v>0</v>
      </c>
    </row>
    <row r="230" spans="2:12" x14ac:dyDescent="0.25">
      <c r="B230" s="1" t="s">
        <v>3</v>
      </c>
      <c r="C230" s="57" t="s">
        <v>6</v>
      </c>
    </row>
    <row r="231" spans="2:12" x14ac:dyDescent="0.25">
      <c r="B231" s="1"/>
      <c r="C231" s="1" t="s">
        <v>7</v>
      </c>
      <c r="I231" s="65">
        <f>I226*5.1%</f>
        <v>9441.033809999999</v>
      </c>
      <c r="L231" s="45">
        <f>181243.75+13315.59</f>
        <v>194559.34</v>
      </c>
    </row>
    <row r="232" spans="2:12" x14ac:dyDescent="0.25">
      <c r="B232" s="1"/>
      <c r="C232" s="1"/>
      <c r="I232" s="50">
        <f>SUM(I229:I231)</f>
        <v>9441.033809999999</v>
      </c>
      <c r="L232" s="45">
        <f>L231*5.1/105.1</f>
        <v>9441.0336251189347</v>
      </c>
    </row>
    <row r="233" spans="2:12" x14ac:dyDescent="0.25">
      <c r="B233" s="1" t="s">
        <v>4</v>
      </c>
      <c r="C233" s="57" t="s">
        <v>113</v>
      </c>
      <c r="I233" s="65">
        <v>0</v>
      </c>
      <c r="L233" s="45">
        <f>L231-L232</f>
        <v>185118.30637488107</v>
      </c>
    </row>
    <row r="234" spans="2:12" x14ac:dyDescent="0.25">
      <c r="B234" s="1"/>
      <c r="C234" s="1"/>
      <c r="I234" s="50">
        <f>I232-I233</f>
        <v>9441.033809999999</v>
      </c>
    </row>
    <row r="235" spans="2:12" x14ac:dyDescent="0.25">
      <c r="B235" s="1" t="s">
        <v>4</v>
      </c>
      <c r="C235" s="1" t="s">
        <v>184</v>
      </c>
    </row>
    <row r="236" spans="2:12" x14ac:dyDescent="0.25">
      <c r="B236" s="1"/>
      <c r="C236" s="1" t="s">
        <v>165</v>
      </c>
      <c r="I236" s="65">
        <v>0</v>
      </c>
      <c r="J236" s="65">
        <f>I234-I236</f>
        <v>9441.033809999999</v>
      </c>
      <c r="K236" s="109">
        <f>SUM(J227:J236)</f>
        <v>194559.34380999999</v>
      </c>
    </row>
    <row r="238" spans="2:12" x14ac:dyDescent="0.25">
      <c r="B238" s="67" t="s">
        <v>235</v>
      </c>
    </row>
    <row r="239" spans="2:12" x14ac:dyDescent="0.25">
      <c r="B239" s="1" t="s">
        <v>2</v>
      </c>
      <c r="I239" s="50">
        <v>339249.17</v>
      </c>
    </row>
    <row r="240" spans="2:12" x14ac:dyDescent="0.25">
      <c r="B240" s="1" t="s">
        <v>3</v>
      </c>
      <c r="C240" s="45" t="s">
        <v>6</v>
      </c>
      <c r="I240" s="65">
        <v>0</v>
      </c>
      <c r="J240" s="50">
        <f>I239+I240</f>
        <v>339249.17</v>
      </c>
      <c r="K240" s="50">
        <v>0</v>
      </c>
    </row>
    <row r="241" spans="2:12" x14ac:dyDescent="0.25">
      <c r="B241" s="57" t="s">
        <v>277</v>
      </c>
      <c r="C241" s="1"/>
      <c r="D241" s="1"/>
    </row>
    <row r="242" spans="2:12" x14ac:dyDescent="0.25">
      <c r="B242" s="1" t="s">
        <v>2</v>
      </c>
      <c r="C242" s="1"/>
      <c r="I242" s="50">
        <v>0</v>
      </c>
    </row>
    <row r="243" spans="2:12" x14ac:dyDescent="0.25">
      <c r="B243" s="1" t="s">
        <v>3</v>
      </c>
      <c r="C243" s="57" t="s">
        <v>6</v>
      </c>
    </row>
    <row r="244" spans="2:12" x14ac:dyDescent="0.25">
      <c r="B244" s="1"/>
      <c r="C244" s="1" t="s">
        <v>7</v>
      </c>
      <c r="I244" s="65">
        <f>I239*5.1%</f>
        <v>17301.70767</v>
      </c>
    </row>
    <row r="245" spans="2:12" x14ac:dyDescent="0.25">
      <c r="B245" s="1"/>
      <c r="C245" s="1"/>
      <c r="I245" s="50">
        <f>SUM(I242:I244)</f>
        <v>17301.70767</v>
      </c>
      <c r="L245" s="45">
        <f>17301.71+339249.17</f>
        <v>356550.88</v>
      </c>
    </row>
    <row r="246" spans="2:12" x14ac:dyDescent="0.25">
      <c r="B246" s="1" t="s">
        <v>4</v>
      </c>
      <c r="C246" s="57" t="s">
        <v>113</v>
      </c>
      <c r="I246" s="65"/>
    </row>
    <row r="247" spans="2:12" x14ac:dyDescent="0.25">
      <c r="B247" s="1"/>
      <c r="C247" s="1"/>
      <c r="I247" s="50">
        <f>I245-I246</f>
        <v>17301.70767</v>
      </c>
    </row>
    <row r="248" spans="2:12" x14ac:dyDescent="0.25">
      <c r="B248" s="1" t="s">
        <v>4</v>
      </c>
      <c r="C248" s="1" t="s">
        <v>184</v>
      </c>
    </row>
    <row r="249" spans="2:12" x14ac:dyDescent="0.25">
      <c r="B249" s="1"/>
      <c r="C249" s="1" t="s">
        <v>165</v>
      </c>
      <c r="I249" s="65">
        <v>0</v>
      </c>
      <c r="J249" s="65">
        <f>I247-I249</f>
        <v>17301.70767</v>
      </c>
      <c r="K249" s="109">
        <f>SUM(J240:J249)</f>
        <v>356550.87766999996</v>
      </c>
    </row>
    <row r="250" spans="2:12" x14ac:dyDescent="0.25">
      <c r="B250" s="1"/>
      <c r="C250" s="1"/>
    </row>
    <row r="251" spans="2:12" x14ac:dyDescent="0.25">
      <c r="B251" s="67" t="s">
        <v>246</v>
      </c>
    </row>
    <row r="252" spans="2:12" x14ac:dyDescent="0.25">
      <c r="B252" s="1" t="s">
        <v>2</v>
      </c>
      <c r="I252" s="50">
        <v>336127.54</v>
      </c>
    </row>
    <row r="253" spans="2:12" x14ac:dyDescent="0.25">
      <c r="B253" s="1" t="s">
        <v>3</v>
      </c>
      <c r="C253" s="45" t="s">
        <v>6</v>
      </c>
      <c r="I253" s="65">
        <v>0</v>
      </c>
      <c r="J253" s="50">
        <f>I252+I253</f>
        <v>336127.54</v>
      </c>
      <c r="K253" s="50">
        <v>0</v>
      </c>
    </row>
    <row r="255" spans="2:12" x14ac:dyDescent="0.25">
      <c r="B255" s="67" t="s">
        <v>287</v>
      </c>
    </row>
    <row r="256" spans="2:12" x14ac:dyDescent="0.25">
      <c r="B256" s="1" t="s">
        <v>2</v>
      </c>
      <c r="I256" s="50">
        <v>0</v>
      </c>
    </row>
    <row r="257" spans="2:13" x14ac:dyDescent="0.25">
      <c r="B257" s="1" t="s">
        <v>3</v>
      </c>
      <c r="C257" s="57" t="s">
        <v>6</v>
      </c>
      <c r="I257" s="50">
        <v>0</v>
      </c>
    </row>
    <row r="258" spans="2:13" x14ac:dyDescent="0.25">
      <c r="B258" s="1"/>
      <c r="C258" s="1"/>
    </row>
    <row r="259" spans="2:13" x14ac:dyDescent="0.25">
      <c r="B259" s="1"/>
      <c r="C259" s="1" t="s">
        <v>7</v>
      </c>
      <c r="I259" s="65">
        <f>I252*5.1%</f>
        <v>17142.504539999998</v>
      </c>
    </row>
    <row r="260" spans="2:13" x14ac:dyDescent="0.25">
      <c r="B260" s="1"/>
      <c r="C260" s="1"/>
      <c r="I260" s="66">
        <f>I256+I257+I258+I259</f>
        <v>17142.504539999998</v>
      </c>
    </row>
    <row r="261" spans="2:13" x14ac:dyDescent="0.25">
      <c r="B261" s="1" t="s">
        <v>4</v>
      </c>
      <c r="C261" s="57" t="s">
        <v>113</v>
      </c>
    </row>
    <row r="262" spans="2:13" x14ac:dyDescent="0.25">
      <c r="B262" s="1"/>
      <c r="C262" s="1"/>
      <c r="I262" s="50">
        <f>I260-I261</f>
        <v>17142.504539999998</v>
      </c>
    </row>
    <row r="263" spans="2:13" x14ac:dyDescent="0.25">
      <c r="B263" s="1" t="s">
        <v>4</v>
      </c>
      <c r="C263" s="1" t="s">
        <v>184</v>
      </c>
      <c r="L263" s="45">
        <f>321877+31393.04</f>
        <v>353270.04</v>
      </c>
    </row>
    <row r="264" spans="2:13" x14ac:dyDescent="0.25">
      <c r="B264" s="1"/>
      <c r="C264" s="1" t="s">
        <v>165</v>
      </c>
      <c r="L264" s="45">
        <f>L263*5.1/105.1</f>
        <v>17142.504319695527</v>
      </c>
    </row>
    <row r="265" spans="2:13" x14ac:dyDescent="0.25">
      <c r="I265" s="65">
        <v>0</v>
      </c>
      <c r="J265" s="65">
        <f>I262-I265</f>
        <v>17142.504539999998</v>
      </c>
      <c r="K265" s="109">
        <f>SUM(J253:J265)</f>
        <v>353270.04453999997</v>
      </c>
      <c r="L265" s="45">
        <f>L263-L264</f>
        <v>336127.53568030446</v>
      </c>
    </row>
    <row r="267" spans="2:13" x14ac:dyDescent="0.25">
      <c r="B267" s="67" t="s">
        <v>241</v>
      </c>
    </row>
    <row r="268" spans="2:13" x14ac:dyDescent="0.25">
      <c r="B268" s="1" t="s">
        <v>2</v>
      </c>
      <c r="I268" s="50">
        <v>346522.49</v>
      </c>
    </row>
    <row r="269" spans="2:13" x14ac:dyDescent="0.25">
      <c r="B269" s="1" t="s">
        <v>3</v>
      </c>
      <c r="C269" s="45" t="s">
        <v>6</v>
      </c>
      <c r="I269" s="65">
        <v>0</v>
      </c>
      <c r="J269" s="50">
        <f>I268+I269</f>
        <v>346522.49</v>
      </c>
      <c r="K269" s="50">
        <v>0</v>
      </c>
    </row>
    <row r="270" spans="2:13" x14ac:dyDescent="0.25">
      <c r="B270" s="57" t="s">
        <v>278</v>
      </c>
      <c r="C270" s="1"/>
      <c r="D270" s="1"/>
    </row>
    <row r="271" spans="2:13" x14ac:dyDescent="0.25">
      <c r="B271" s="1" t="s">
        <v>2</v>
      </c>
      <c r="C271" s="1"/>
      <c r="I271" s="50">
        <v>0</v>
      </c>
    </row>
    <row r="272" spans="2:13" x14ac:dyDescent="0.25">
      <c r="B272" s="1" t="s">
        <v>3</v>
      </c>
      <c r="C272" s="57" t="s">
        <v>6</v>
      </c>
      <c r="M272" s="45">
        <f>325068+39127.14</f>
        <v>364195.14</v>
      </c>
    </row>
    <row r="273" spans="2:11" x14ac:dyDescent="0.25">
      <c r="B273" s="1"/>
      <c r="C273" s="1" t="s">
        <v>7</v>
      </c>
      <c r="I273" s="65">
        <f>I268*5.1%</f>
        <v>17672.646989999997</v>
      </c>
    </row>
    <row r="274" spans="2:11" x14ac:dyDescent="0.25">
      <c r="B274" s="1"/>
      <c r="C274" s="1"/>
      <c r="I274" s="50">
        <f>SUM(I271:I273)</f>
        <v>17672.646989999997</v>
      </c>
    </row>
    <row r="275" spans="2:11" x14ac:dyDescent="0.25">
      <c r="B275" s="1" t="s">
        <v>4</v>
      </c>
      <c r="C275" s="57" t="s">
        <v>113</v>
      </c>
      <c r="I275" s="65"/>
    </row>
    <row r="276" spans="2:11" x14ac:dyDescent="0.25">
      <c r="B276" s="1"/>
      <c r="C276" s="1"/>
      <c r="I276" s="50">
        <f>I274-I275</f>
        <v>17672.646989999997</v>
      </c>
    </row>
    <row r="277" spans="2:11" x14ac:dyDescent="0.25">
      <c r="B277" s="1" t="s">
        <v>4</v>
      </c>
      <c r="C277" s="1" t="s">
        <v>184</v>
      </c>
    </row>
    <row r="278" spans="2:11" x14ac:dyDescent="0.25">
      <c r="B278" s="1"/>
      <c r="C278" s="1" t="s">
        <v>165</v>
      </c>
      <c r="I278" s="65">
        <v>0</v>
      </c>
      <c r="J278" s="65">
        <f>I276-I278</f>
        <v>17672.646989999997</v>
      </c>
      <c r="K278" s="109">
        <f>SUM(J269:J278)</f>
        <v>364195.13698999997</v>
      </c>
    </row>
    <row r="280" spans="2:11" x14ac:dyDescent="0.25">
      <c r="B280" s="67" t="s">
        <v>279</v>
      </c>
    </row>
    <row r="281" spans="2:11" x14ac:dyDescent="0.25">
      <c r="B281" s="1" t="s">
        <v>2</v>
      </c>
      <c r="I281" s="50">
        <v>340722.38</v>
      </c>
    </row>
    <row r="282" spans="2:11" x14ac:dyDescent="0.25">
      <c r="B282" s="1" t="s">
        <v>3</v>
      </c>
      <c r="C282" s="45" t="s">
        <v>6</v>
      </c>
      <c r="I282" s="65">
        <v>0</v>
      </c>
      <c r="J282" s="50">
        <f>I281+I282</f>
        <v>340722.38</v>
      </c>
      <c r="K282" s="50">
        <v>0</v>
      </c>
    </row>
    <row r="283" spans="2:11" x14ac:dyDescent="0.25">
      <c r="B283" s="57" t="s">
        <v>280</v>
      </c>
      <c r="C283" s="1"/>
      <c r="D283" s="1"/>
    </row>
    <row r="284" spans="2:11" x14ac:dyDescent="0.25">
      <c r="B284" s="1" t="s">
        <v>2</v>
      </c>
      <c r="C284" s="1"/>
      <c r="I284" s="50">
        <v>0</v>
      </c>
    </row>
    <row r="285" spans="2:11" x14ac:dyDescent="0.25">
      <c r="B285" s="1" t="s">
        <v>3</v>
      </c>
      <c r="C285" s="57" t="s">
        <v>6</v>
      </c>
    </row>
    <row r="286" spans="2:11" x14ac:dyDescent="0.25">
      <c r="B286" s="1"/>
      <c r="C286" s="1" t="s">
        <v>7</v>
      </c>
      <c r="I286" s="65">
        <f>I281*5.1%</f>
        <v>17376.841379999998</v>
      </c>
    </row>
    <row r="287" spans="2:11" x14ac:dyDescent="0.25">
      <c r="B287" s="1"/>
      <c r="C287" s="1"/>
      <c r="I287" s="50">
        <f>SUM(I284:I286)</f>
        <v>17376.841379999998</v>
      </c>
    </row>
    <row r="288" spans="2:11" x14ac:dyDescent="0.25">
      <c r="B288" s="1" t="s">
        <v>4</v>
      </c>
      <c r="C288" s="57" t="s">
        <v>113</v>
      </c>
      <c r="I288" s="65"/>
    </row>
    <row r="289" spans="1:12" x14ac:dyDescent="0.25">
      <c r="B289" s="1"/>
      <c r="C289" s="1"/>
      <c r="I289" s="50">
        <f>I287-I288</f>
        <v>17376.841379999998</v>
      </c>
      <c r="L289" s="45">
        <f>319627+38472.22</f>
        <v>358099.22</v>
      </c>
    </row>
    <row r="290" spans="1:12" x14ac:dyDescent="0.25">
      <c r="B290" s="1" t="s">
        <v>4</v>
      </c>
      <c r="C290" s="1" t="s">
        <v>184</v>
      </c>
    </row>
    <row r="291" spans="1:12" x14ac:dyDescent="0.25">
      <c r="B291" s="1"/>
      <c r="C291" s="1" t="s">
        <v>165</v>
      </c>
      <c r="I291" s="65">
        <v>0</v>
      </c>
      <c r="J291" s="65">
        <f>I289-I291</f>
        <v>17376.841379999998</v>
      </c>
      <c r="K291" s="109">
        <f>SUM(J282:J291)</f>
        <v>358099.22138</v>
      </c>
    </row>
    <row r="296" spans="1:12" x14ac:dyDescent="0.25">
      <c r="A296" s="63" t="s">
        <v>116</v>
      </c>
    </row>
    <row r="298" spans="1:12" x14ac:dyDescent="0.25">
      <c r="B298" s="57" t="s">
        <v>30</v>
      </c>
      <c r="C298" s="1"/>
      <c r="D298" s="1"/>
    </row>
    <row r="299" spans="1:12" x14ac:dyDescent="0.25">
      <c r="B299" s="1" t="s">
        <v>2</v>
      </c>
      <c r="D299" s="1"/>
      <c r="I299" s="50">
        <v>117766.32</v>
      </c>
    </row>
    <row r="300" spans="1:12" x14ac:dyDescent="0.25">
      <c r="B300" s="1" t="s">
        <v>3</v>
      </c>
      <c r="C300" s="45" t="s">
        <v>115</v>
      </c>
      <c r="D300" s="1"/>
      <c r="I300" s="65">
        <v>0</v>
      </c>
      <c r="J300" s="50">
        <f>SUM(I299:I300)</f>
        <v>117766.32</v>
      </c>
    </row>
    <row r="301" spans="1:12" x14ac:dyDescent="0.25">
      <c r="B301" s="57" t="s">
        <v>31</v>
      </c>
      <c r="C301" s="1"/>
      <c r="D301" s="1"/>
    </row>
    <row r="302" spans="1:12" x14ac:dyDescent="0.25">
      <c r="B302" s="1" t="s">
        <v>2</v>
      </c>
      <c r="C302" s="1"/>
      <c r="I302" s="50">
        <v>0</v>
      </c>
    </row>
    <row r="303" spans="1:12" x14ac:dyDescent="0.25">
      <c r="B303" s="1" t="s">
        <v>3</v>
      </c>
      <c r="C303" s="57" t="s">
        <v>6</v>
      </c>
    </row>
    <row r="304" spans="1:12" x14ac:dyDescent="0.25">
      <c r="B304" s="1"/>
      <c r="C304" s="1" t="s">
        <v>8</v>
      </c>
      <c r="I304" s="65">
        <f>I299*5.1%</f>
        <v>6006.0823199999995</v>
      </c>
    </row>
    <row r="305" spans="2:12" x14ac:dyDescent="0.25">
      <c r="B305" s="1"/>
      <c r="C305" s="1"/>
      <c r="I305" s="50">
        <f>SUM(I302:I304)</f>
        <v>6006.0823199999995</v>
      </c>
    </row>
    <row r="306" spans="2:12" x14ac:dyDescent="0.25">
      <c r="B306" s="1" t="s">
        <v>4</v>
      </c>
      <c r="C306" s="57" t="s">
        <v>377</v>
      </c>
      <c r="I306" s="65"/>
    </row>
    <row r="307" spans="2:12" x14ac:dyDescent="0.25">
      <c r="B307" s="1"/>
      <c r="C307" s="1"/>
      <c r="I307" s="50">
        <f>I305-I306</f>
        <v>6006.0823199999995</v>
      </c>
    </row>
    <row r="308" spans="2:12" x14ac:dyDescent="0.25">
      <c r="B308" s="1" t="s">
        <v>4</v>
      </c>
      <c r="C308" s="1" t="s">
        <v>184</v>
      </c>
    </row>
    <row r="309" spans="2:12" x14ac:dyDescent="0.25">
      <c r="B309" s="1"/>
      <c r="C309" s="1" t="s">
        <v>165</v>
      </c>
      <c r="I309" s="65">
        <v>0</v>
      </c>
      <c r="J309" s="65">
        <f>I307-I309</f>
        <v>6006.0823199999995</v>
      </c>
      <c r="K309" s="109">
        <f>SUM(J300:J309)</f>
        <v>123772.40232000001</v>
      </c>
      <c r="L309" s="45">
        <f>110474.97+13297.43</f>
        <v>123772.4</v>
      </c>
    </row>
    <row r="311" spans="2:12" x14ac:dyDescent="0.25">
      <c r="B311" s="57" t="s">
        <v>120</v>
      </c>
      <c r="C311" s="1"/>
      <c r="D311" s="1"/>
    </row>
    <row r="312" spans="2:12" x14ac:dyDescent="0.25">
      <c r="B312" s="1" t="s">
        <v>2</v>
      </c>
      <c r="D312" s="1"/>
      <c r="I312" s="50">
        <v>1682453.15</v>
      </c>
    </row>
    <row r="313" spans="2:12" x14ac:dyDescent="0.25">
      <c r="B313" s="1" t="s">
        <v>3</v>
      </c>
      <c r="C313" s="45" t="s">
        <v>115</v>
      </c>
      <c r="D313" s="1"/>
      <c r="I313" s="65">
        <v>0</v>
      </c>
      <c r="J313" s="50">
        <f>SUM(I312:I313)</f>
        <v>1682453.15</v>
      </c>
    </row>
    <row r="314" spans="2:12" x14ac:dyDescent="0.25">
      <c r="B314" s="57" t="s">
        <v>119</v>
      </c>
      <c r="C314" s="1"/>
      <c r="D314" s="1"/>
    </row>
    <row r="315" spans="2:12" x14ac:dyDescent="0.25">
      <c r="B315" s="1" t="s">
        <v>2</v>
      </c>
      <c r="C315" s="1"/>
    </row>
    <row r="316" spans="2:12" x14ac:dyDescent="0.25">
      <c r="B316" s="1" t="s">
        <v>3</v>
      </c>
      <c r="C316" s="57" t="s">
        <v>6</v>
      </c>
    </row>
    <row r="317" spans="2:12" x14ac:dyDescent="0.25">
      <c r="B317" s="1"/>
      <c r="C317" s="48" t="s">
        <v>8</v>
      </c>
      <c r="I317" s="65">
        <f>I312*5.1%</f>
        <v>85805.110649999988</v>
      </c>
    </row>
    <row r="318" spans="2:12" x14ac:dyDescent="0.25">
      <c r="B318" s="1"/>
      <c r="C318" s="1" t="s">
        <v>301</v>
      </c>
    </row>
    <row r="319" spans="2:12" x14ac:dyDescent="0.25">
      <c r="B319" s="1"/>
      <c r="C319" s="68"/>
      <c r="I319" s="66">
        <f>I315+I316+I317+I318</f>
        <v>85805.110649999988</v>
      </c>
    </row>
    <row r="320" spans="2:12" x14ac:dyDescent="0.25">
      <c r="B320" s="1" t="s">
        <v>4</v>
      </c>
      <c r="C320" s="57" t="s">
        <v>290</v>
      </c>
      <c r="I320" s="65"/>
    </row>
    <row r="321" spans="2:12" x14ac:dyDescent="0.25">
      <c r="B321" s="1"/>
      <c r="C321" s="57"/>
      <c r="I321" s="50">
        <f>I319-I320</f>
        <v>85805.110649999988</v>
      </c>
      <c r="L321" s="45">
        <f>1688808.17+79450.09</f>
        <v>1768258.26</v>
      </c>
    </row>
    <row r="322" spans="2:12" x14ac:dyDescent="0.25">
      <c r="B322" s="1" t="s">
        <v>4</v>
      </c>
      <c r="C322" s="1" t="s">
        <v>184</v>
      </c>
      <c r="L322" s="45">
        <f>L321*5.1/105.1</f>
        <v>85805.110618458624</v>
      </c>
    </row>
    <row r="323" spans="2:12" x14ac:dyDescent="0.25">
      <c r="B323" s="1"/>
      <c r="C323" s="1" t="s">
        <v>165</v>
      </c>
      <c r="I323" s="65">
        <v>0</v>
      </c>
      <c r="J323" s="65">
        <f>I321-I323</f>
        <v>85805.110649999988</v>
      </c>
      <c r="K323" s="109">
        <f>SUM(J312:J323)</f>
        <v>1768258.2606499998</v>
      </c>
      <c r="L323" s="45">
        <f>L321-L322</f>
        <v>1682453.1493815414</v>
      </c>
    </row>
    <row r="325" spans="2:12" x14ac:dyDescent="0.25">
      <c r="B325" s="57" t="s">
        <v>188</v>
      </c>
      <c r="C325" s="1"/>
      <c r="D325" s="1"/>
    </row>
    <row r="326" spans="2:12" x14ac:dyDescent="0.25">
      <c r="B326" s="1" t="s">
        <v>2</v>
      </c>
      <c r="D326" s="1"/>
      <c r="I326" s="50">
        <v>188401.94</v>
      </c>
    </row>
    <row r="327" spans="2:12" x14ac:dyDescent="0.25">
      <c r="B327" s="1" t="s">
        <v>3</v>
      </c>
      <c r="C327" s="45" t="s">
        <v>261</v>
      </c>
      <c r="D327" s="1"/>
    </row>
    <row r="328" spans="2:12" x14ac:dyDescent="0.25">
      <c r="B328" s="1"/>
      <c r="C328" s="45" t="s">
        <v>262</v>
      </c>
      <c r="D328" s="1"/>
      <c r="I328" s="50">
        <v>0</v>
      </c>
      <c r="J328" s="50">
        <f>SUM(I326:I328)</f>
        <v>188401.94</v>
      </c>
    </row>
    <row r="329" spans="2:12" x14ac:dyDescent="0.25">
      <c r="B329" s="57" t="s">
        <v>189</v>
      </c>
      <c r="C329" s="1"/>
      <c r="D329" s="1"/>
    </row>
    <row r="330" spans="2:12" x14ac:dyDescent="0.25">
      <c r="B330" s="1" t="s">
        <v>2</v>
      </c>
      <c r="C330" s="1"/>
      <c r="D330" s="1"/>
      <c r="I330" s="50">
        <v>0</v>
      </c>
      <c r="L330" s="45">
        <f>198010.44</f>
        <v>198010.44</v>
      </c>
    </row>
    <row r="331" spans="2:12" x14ac:dyDescent="0.25">
      <c r="B331" s="1" t="s">
        <v>3</v>
      </c>
      <c r="C331" s="57" t="s">
        <v>6</v>
      </c>
      <c r="D331" s="57"/>
      <c r="L331" s="45">
        <f>L330*5.1/105.1</f>
        <v>9608.498991436727</v>
      </c>
    </row>
    <row r="332" spans="2:12" x14ac:dyDescent="0.25">
      <c r="B332" s="1"/>
      <c r="C332" s="1" t="s">
        <v>8</v>
      </c>
      <c r="D332" s="1"/>
      <c r="I332" s="65">
        <f>I326*5.1%</f>
        <v>9608.4989399999995</v>
      </c>
      <c r="L332" s="45">
        <f>L330-L331</f>
        <v>188401.94100856327</v>
      </c>
    </row>
    <row r="333" spans="2:12" x14ac:dyDescent="0.25">
      <c r="B333" s="1"/>
      <c r="C333" s="1"/>
      <c r="D333" s="1"/>
      <c r="I333" s="50">
        <f>SUM(I330:I332)</f>
        <v>9608.4989399999995</v>
      </c>
    </row>
    <row r="334" spans="2:12" x14ac:dyDescent="0.25">
      <c r="B334" s="1" t="s">
        <v>4</v>
      </c>
      <c r="C334" s="57" t="s">
        <v>190</v>
      </c>
      <c r="D334" s="57"/>
      <c r="I334" s="65"/>
      <c r="L334" s="45">
        <f>198010.44-6676.27</f>
        <v>191334.17</v>
      </c>
    </row>
    <row r="335" spans="2:12" x14ac:dyDescent="0.25">
      <c r="B335" s="1"/>
      <c r="C335" s="1"/>
      <c r="D335" s="1"/>
      <c r="I335" s="50">
        <f>I333-I334</f>
        <v>9608.4989399999995</v>
      </c>
    </row>
    <row r="336" spans="2:12" x14ac:dyDescent="0.25">
      <c r="B336" s="1" t="s">
        <v>4</v>
      </c>
      <c r="C336" s="1" t="s">
        <v>242</v>
      </c>
      <c r="D336" s="1"/>
      <c r="I336" s="65">
        <v>6676.27</v>
      </c>
      <c r="J336" s="65">
        <f>I335-I336</f>
        <v>2932.2289399999991</v>
      </c>
      <c r="K336" s="109">
        <f>SUM(J328:J336)</f>
        <v>191334.16894</v>
      </c>
    </row>
    <row r="338" spans="2:12" x14ac:dyDescent="0.25">
      <c r="B338" s="57" t="s">
        <v>42</v>
      </c>
      <c r="C338" s="1"/>
      <c r="D338" s="1"/>
    </row>
    <row r="339" spans="2:12" x14ac:dyDescent="0.25">
      <c r="B339" s="1" t="s">
        <v>2</v>
      </c>
      <c r="D339" s="1"/>
      <c r="I339" s="50">
        <v>86840.44</v>
      </c>
    </row>
    <row r="340" spans="2:12" x14ac:dyDescent="0.25">
      <c r="B340" s="1" t="s">
        <v>3</v>
      </c>
      <c r="C340" s="45" t="s">
        <v>115</v>
      </c>
      <c r="D340" s="1"/>
      <c r="I340" s="65">
        <v>0</v>
      </c>
      <c r="J340" s="50">
        <f>SUM(I339:I340)</f>
        <v>86840.44</v>
      </c>
    </row>
    <row r="341" spans="2:12" x14ac:dyDescent="0.25">
      <c r="B341" s="57" t="s">
        <v>65</v>
      </c>
      <c r="C341" s="1"/>
      <c r="D341" s="1"/>
    </row>
    <row r="342" spans="2:12" x14ac:dyDescent="0.25">
      <c r="B342" s="1" t="s">
        <v>2</v>
      </c>
      <c r="C342" s="1"/>
      <c r="I342" s="50">
        <v>0</v>
      </c>
      <c r="L342" s="45">
        <f>91269.3</f>
        <v>91269.3</v>
      </c>
    </row>
    <row r="343" spans="2:12" x14ac:dyDescent="0.25">
      <c r="B343" s="1" t="s">
        <v>70</v>
      </c>
      <c r="C343" s="57" t="s">
        <v>6</v>
      </c>
      <c r="L343" s="45">
        <f>L342*5.1/105.1</f>
        <v>4428.862321598478</v>
      </c>
    </row>
    <row r="344" spans="2:12" x14ac:dyDescent="0.25">
      <c r="B344" s="1"/>
      <c r="C344" s="1" t="s">
        <v>8</v>
      </c>
      <c r="I344" s="65">
        <f>I339*5.1%</f>
        <v>4428.8624399999999</v>
      </c>
      <c r="L344" s="45">
        <f>L342-L343</f>
        <v>86840.437678401518</v>
      </c>
    </row>
    <row r="345" spans="2:12" x14ac:dyDescent="0.25">
      <c r="B345" s="1"/>
      <c r="C345" s="1"/>
      <c r="I345" s="50">
        <f>SUM(I342:I344)</f>
        <v>4428.8624399999999</v>
      </c>
    </row>
    <row r="346" spans="2:12" x14ac:dyDescent="0.25">
      <c r="B346" s="1" t="s">
        <v>4</v>
      </c>
      <c r="C346" s="57" t="s">
        <v>121</v>
      </c>
      <c r="I346" s="65"/>
    </row>
    <row r="347" spans="2:12" x14ac:dyDescent="0.25">
      <c r="B347" s="1"/>
      <c r="C347" s="1"/>
      <c r="I347" s="50">
        <f>I345-I346</f>
        <v>4428.8624399999999</v>
      </c>
    </row>
    <row r="348" spans="2:12" x14ac:dyDescent="0.25">
      <c r="B348" s="1" t="s">
        <v>4</v>
      </c>
      <c r="C348" s="1" t="s">
        <v>184</v>
      </c>
    </row>
    <row r="349" spans="2:12" x14ac:dyDescent="0.25">
      <c r="B349" s="1"/>
      <c r="C349" s="1" t="s">
        <v>166</v>
      </c>
      <c r="I349" s="65">
        <v>514.28</v>
      </c>
      <c r="J349" s="65">
        <f>I347-I349</f>
        <v>3914.5824400000001</v>
      </c>
      <c r="K349" s="109">
        <f>SUM(J340:J349)</f>
        <v>90755.022440000001</v>
      </c>
    </row>
    <row r="351" spans="2:12" x14ac:dyDescent="0.25">
      <c r="B351" s="57" t="s">
        <v>34</v>
      </c>
      <c r="C351" s="1"/>
      <c r="D351" s="1"/>
    </row>
    <row r="352" spans="2:12" x14ac:dyDescent="0.25">
      <c r="B352" s="1" t="s">
        <v>2</v>
      </c>
      <c r="D352" s="1"/>
      <c r="I352" s="50">
        <v>535799.76</v>
      </c>
    </row>
    <row r="353" spans="2:12" x14ac:dyDescent="0.25">
      <c r="B353" s="1" t="s">
        <v>3</v>
      </c>
      <c r="C353" s="45" t="s">
        <v>232</v>
      </c>
      <c r="D353" s="1"/>
      <c r="I353" s="65">
        <v>0</v>
      </c>
      <c r="J353" s="50">
        <f>I352+I353</f>
        <v>535799.76</v>
      </c>
      <c r="L353" s="45">
        <f>502626.42+60499.13</f>
        <v>563125.54999999993</v>
      </c>
    </row>
    <row r="354" spans="2:12" x14ac:dyDescent="0.25">
      <c r="B354" s="57" t="s">
        <v>35</v>
      </c>
      <c r="C354" s="1"/>
      <c r="D354" s="1"/>
    </row>
    <row r="355" spans="2:12" x14ac:dyDescent="0.25">
      <c r="B355" s="1" t="s">
        <v>2</v>
      </c>
      <c r="C355" s="1"/>
      <c r="I355" s="50">
        <v>0</v>
      </c>
    </row>
    <row r="356" spans="2:12" x14ac:dyDescent="0.25">
      <c r="B356" s="1" t="s">
        <v>3</v>
      </c>
      <c r="C356" s="57" t="s">
        <v>6</v>
      </c>
    </row>
    <row r="357" spans="2:12" x14ac:dyDescent="0.25">
      <c r="B357" s="1"/>
      <c r="C357" s="1" t="s">
        <v>8</v>
      </c>
      <c r="I357" s="65">
        <f>I352*5.1%</f>
        <v>27325.787759999999</v>
      </c>
    </row>
    <row r="358" spans="2:12" x14ac:dyDescent="0.25">
      <c r="B358" s="1"/>
      <c r="D358" s="1"/>
      <c r="I358" s="50">
        <f>I355+I357</f>
        <v>27325.787759999999</v>
      </c>
    </row>
    <row r="359" spans="2:12" x14ac:dyDescent="0.25">
      <c r="B359" s="1" t="s">
        <v>4</v>
      </c>
      <c r="C359" s="57" t="s">
        <v>292</v>
      </c>
    </row>
    <row r="360" spans="2:12" x14ac:dyDescent="0.25">
      <c r="B360" s="1"/>
      <c r="C360" s="1"/>
      <c r="I360" s="50">
        <f>I358-I359</f>
        <v>27325.787759999999</v>
      </c>
    </row>
    <row r="361" spans="2:12" x14ac:dyDescent="0.25">
      <c r="B361" s="1" t="s">
        <v>4</v>
      </c>
      <c r="C361" s="1" t="s">
        <v>184</v>
      </c>
    </row>
    <row r="362" spans="2:12" x14ac:dyDescent="0.25">
      <c r="B362" s="1"/>
      <c r="C362" s="1" t="s">
        <v>166</v>
      </c>
      <c r="I362" s="65">
        <v>0</v>
      </c>
      <c r="J362" s="65">
        <f>I360-I362</f>
        <v>27325.787759999999</v>
      </c>
      <c r="K362" s="109">
        <f>SUM(J353:J362)</f>
        <v>563125.54775999999</v>
      </c>
    </row>
    <row r="364" spans="2:12" x14ac:dyDescent="0.25">
      <c r="I364" s="45"/>
      <c r="J364" s="45"/>
      <c r="K364" s="45"/>
    </row>
    <row r="365" spans="2:12" x14ac:dyDescent="0.25">
      <c r="B365" s="57" t="s">
        <v>91</v>
      </c>
      <c r="C365" s="1"/>
      <c r="D365" s="1"/>
    </row>
    <row r="366" spans="2:12" x14ac:dyDescent="0.25">
      <c r="B366" s="1" t="s">
        <v>2</v>
      </c>
      <c r="C366" s="1"/>
      <c r="I366" s="50">
        <v>243348.69</v>
      </c>
    </row>
    <row r="367" spans="2:12" x14ac:dyDescent="0.25">
      <c r="B367" s="1" t="s">
        <v>3</v>
      </c>
      <c r="C367" s="1" t="s">
        <v>6</v>
      </c>
      <c r="I367" s="50">
        <v>0</v>
      </c>
    </row>
    <row r="368" spans="2:12" x14ac:dyDescent="0.25">
      <c r="B368" s="1" t="s">
        <v>3</v>
      </c>
      <c r="C368" s="45" t="s">
        <v>115</v>
      </c>
      <c r="I368" s="65">
        <v>0</v>
      </c>
      <c r="J368" s="50">
        <f>SUM(I366:I368)</f>
        <v>243348.69</v>
      </c>
      <c r="L368" s="45">
        <f>27477.4+228282.07</f>
        <v>255759.47</v>
      </c>
    </row>
    <row r="369" spans="2:12" x14ac:dyDescent="0.25">
      <c r="B369" s="57" t="s">
        <v>249</v>
      </c>
      <c r="C369" s="1"/>
      <c r="D369" s="1"/>
      <c r="L369" s="45">
        <f>L368*5.1/105.1</f>
        <v>12410.783035204568</v>
      </c>
    </row>
    <row r="370" spans="2:12" x14ac:dyDescent="0.25">
      <c r="B370" s="1" t="s">
        <v>2</v>
      </c>
      <c r="C370" s="1"/>
      <c r="I370" s="50">
        <v>0</v>
      </c>
      <c r="L370" s="45">
        <f>L368-L369</f>
        <v>243348.68696479543</v>
      </c>
    </row>
    <row r="371" spans="2:12" x14ac:dyDescent="0.25">
      <c r="B371" s="1" t="s">
        <v>3</v>
      </c>
      <c r="C371" s="57" t="s">
        <v>6</v>
      </c>
    </row>
    <row r="372" spans="2:12" x14ac:dyDescent="0.25">
      <c r="B372" s="1"/>
      <c r="C372" s="1" t="s">
        <v>8</v>
      </c>
      <c r="I372" s="65">
        <f>I366*5.1%</f>
        <v>12410.78319</v>
      </c>
    </row>
    <row r="373" spans="2:12" x14ac:dyDescent="0.25">
      <c r="B373" s="1"/>
      <c r="C373" s="1"/>
      <c r="I373" s="50">
        <f>SUM(I370:I372)</f>
        <v>12410.78319</v>
      </c>
    </row>
    <row r="374" spans="2:12" x14ac:dyDescent="0.25">
      <c r="B374" s="1" t="s">
        <v>4</v>
      </c>
      <c r="C374" s="57" t="s">
        <v>292</v>
      </c>
      <c r="I374" s="65"/>
    </row>
    <row r="375" spans="2:12" x14ac:dyDescent="0.25">
      <c r="B375" s="1"/>
      <c r="C375" s="1"/>
      <c r="I375" s="50">
        <f>I373-I374</f>
        <v>12410.78319</v>
      </c>
    </row>
    <row r="376" spans="2:12" x14ac:dyDescent="0.25">
      <c r="B376" s="1" t="s">
        <v>4</v>
      </c>
      <c r="C376" s="1" t="s">
        <v>184</v>
      </c>
    </row>
    <row r="377" spans="2:12" x14ac:dyDescent="0.25">
      <c r="B377" s="1"/>
      <c r="C377" s="1" t="s">
        <v>165</v>
      </c>
      <c r="I377" s="65">
        <v>0</v>
      </c>
      <c r="J377" s="65">
        <f>I375-I377</f>
        <v>12410.78319</v>
      </c>
      <c r="K377" s="109">
        <f>SUM(J368:J377)</f>
        <v>255759.47318999999</v>
      </c>
    </row>
    <row r="378" spans="2:12" x14ac:dyDescent="0.25">
      <c r="B378" s="1"/>
      <c r="C378" s="1"/>
    </row>
    <row r="379" spans="2:12" x14ac:dyDescent="0.25">
      <c r="B379" s="57" t="s">
        <v>66</v>
      </c>
      <c r="C379" s="1"/>
      <c r="D379" s="1"/>
    </row>
    <row r="380" spans="2:12" x14ac:dyDescent="0.25">
      <c r="B380" s="1" t="s">
        <v>2</v>
      </c>
      <c r="C380" s="1"/>
      <c r="D380" s="1"/>
      <c r="I380" s="50">
        <v>526401.1</v>
      </c>
    </row>
    <row r="381" spans="2:12" x14ac:dyDescent="0.25">
      <c r="B381" s="1" t="s">
        <v>3</v>
      </c>
      <c r="C381" s="1" t="s">
        <v>115</v>
      </c>
      <c r="D381" s="1"/>
      <c r="I381" s="65">
        <v>0</v>
      </c>
      <c r="J381" s="50">
        <f>SUM(I380:I381)</f>
        <v>526401.1</v>
      </c>
    </row>
    <row r="382" spans="2:12" x14ac:dyDescent="0.25">
      <c r="B382" s="57" t="s">
        <v>67</v>
      </c>
      <c r="C382" s="1"/>
      <c r="D382" s="1"/>
      <c r="L382" s="45">
        <f>493809.66+59437.9</f>
        <v>553247.55999999994</v>
      </c>
    </row>
    <row r="383" spans="2:12" x14ac:dyDescent="0.25">
      <c r="B383" s="1" t="s">
        <v>2</v>
      </c>
      <c r="C383" s="1"/>
      <c r="I383" s="50">
        <v>0</v>
      </c>
    </row>
    <row r="384" spans="2:12" x14ac:dyDescent="0.25">
      <c r="B384" s="1" t="s">
        <v>3</v>
      </c>
      <c r="C384" s="57" t="s">
        <v>6</v>
      </c>
      <c r="I384" s="50">
        <v>0</v>
      </c>
    </row>
    <row r="385" spans="2:12" x14ac:dyDescent="0.25">
      <c r="B385" s="1"/>
      <c r="C385" s="1" t="s">
        <v>7</v>
      </c>
      <c r="I385" s="65">
        <f>I380*5.1%</f>
        <v>26846.456099999996</v>
      </c>
    </row>
    <row r="386" spans="2:12" x14ac:dyDescent="0.25">
      <c r="B386" s="1"/>
      <c r="C386" s="1"/>
      <c r="I386" s="50">
        <f>SUM(I383:I385)</f>
        <v>26846.456099999996</v>
      </c>
    </row>
    <row r="387" spans="2:12" x14ac:dyDescent="0.25">
      <c r="B387" s="1" t="s">
        <v>4</v>
      </c>
      <c r="C387" s="57" t="s">
        <v>292</v>
      </c>
      <c r="I387" s="65"/>
    </row>
    <row r="388" spans="2:12" x14ac:dyDescent="0.25">
      <c r="B388" s="1"/>
      <c r="C388" s="1"/>
      <c r="I388" s="50">
        <f>I386-I387</f>
        <v>26846.456099999996</v>
      </c>
    </row>
    <row r="389" spans="2:12" x14ac:dyDescent="0.25">
      <c r="B389" s="1" t="s">
        <v>4</v>
      </c>
      <c r="C389" s="1" t="s">
        <v>184</v>
      </c>
    </row>
    <row r="390" spans="2:12" x14ac:dyDescent="0.25">
      <c r="B390" s="1"/>
      <c r="C390" s="1" t="s">
        <v>166</v>
      </c>
      <c r="I390" s="65">
        <v>0</v>
      </c>
      <c r="J390" s="65">
        <f>I388-I390</f>
        <v>26846.456099999996</v>
      </c>
      <c r="K390" s="109">
        <f>SUM(J381:J390)</f>
        <v>553247.55609999993</v>
      </c>
    </row>
    <row r="391" spans="2:12" x14ac:dyDescent="0.25">
      <c r="B391" s="1"/>
      <c r="C391" s="1"/>
    </row>
    <row r="392" spans="2:12" x14ac:dyDescent="0.25">
      <c r="B392" s="1"/>
      <c r="C392" s="1"/>
    </row>
    <row r="393" spans="2:12" x14ac:dyDescent="0.25">
      <c r="B393" s="57" t="s">
        <v>159</v>
      </c>
      <c r="C393" s="1"/>
      <c r="D393" s="1"/>
    </row>
    <row r="394" spans="2:12" x14ac:dyDescent="0.25">
      <c r="B394" s="1" t="s">
        <v>2</v>
      </c>
      <c r="D394" s="1"/>
      <c r="I394" s="50">
        <v>474381.55</v>
      </c>
    </row>
    <row r="395" spans="2:12" x14ac:dyDescent="0.25">
      <c r="B395" s="1" t="s">
        <v>3</v>
      </c>
      <c r="C395" s="45" t="s">
        <v>115</v>
      </c>
      <c r="D395" s="1"/>
      <c r="I395" s="65"/>
      <c r="J395" s="50">
        <f>I394+I395</f>
        <v>474381.55</v>
      </c>
    </row>
    <row r="396" spans="2:12" x14ac:dyDescent="0.25">
      <c r="B396" s="57" t="s">
        <v>158</v>
      </c>
      <c r="C396" s="1"/>
      <c r="D396" s="1"/>
    </row>
    <row r="397" spans="2:12" x14ac:dyDescent="0.25">
      <c r="B397" s="1" t="s">
        <v>2</v>
      </c>
      <c r="C397" s="1"/>
      <c r="I397" s="50">
        <v>0</v>
      </c>
    </row>
    <row r="398" spans="2:12" x14ac:dyDescent="0.25">
      <c r="B398" s="1" t="s">
        <v>70</v>
      </c>
      <c r="C398" s="57" t="s">
        <v>6</v>
      </c>
    </row>
    <row r="399" spans="2:12" x14ac:dyDescent="0.25">
      <c r="B399" s="1"/>
      <c r="C399" s="1" t="s">
        <v>8</v>
      </c>
      <c r="I399" s="65">
        <f>I394*5.1%</f>
        <v>24193.459049999998</v>
      </c>
      <c r="L399" s="45">
        <f>484509+14066.01</f>
        <v>498575.01</v>
      </c>
    </row>
    <row r="400" spans="2:12" x14ac:dyDescent="0.25">
      <c r="B400" s="1"/>
      <c r="C400" s="1"/>
      <c r="I400" s="66"/>
    </row>
    <row r="401" spans="1:12" x14ac:dyDescent="0.25">
      <c r="B401" s="1" t="s">
        <v>4</v>
      </c>
      <c r="C401" s="57" t="s">
        <v>236</v>
      </c>
      <c r="I401" s="65"/>
      <c r="L401" s="45">
        <f>L399*5.1/105.1</f>
        <v>24193.459096098955</v>
      </c>
    </row>
    <row r="402" spans="1:12" x14ac:dyDescent="0.25">
      <c r="B402" s="1"/>
      <c r="C402" s="1"/>
      <c r="I402" s="50">
        <f>I397+I399-I401</f>
        <v>24193.459049999998</v>
      </c>
      <c r="L402" s="45">
        <f>L399-L401</f>
        <v>474381.55090390105</v>
      </c>
    </row>
    <row r="403" spans="1:12" ht="11.25" customHeight="1" x14ac:dyDescent="0.25">
      <c r="B403" s="1" t="s">
        <v>4</v>
      </c>
      <c r="C403" s="1" t="s">
        <v>288</v>
      </c>
    </row>
    <row r="404" spans="1:12" x14ac:dyDescent="0.25">
      <c r="A404" s="63"/>
      <c r="B404" s="1"/>
      <c r="C404" s="1" t="s">
        <v>264</v>
      </c>
      <c r="I404" s="65"/>
      <c r="J404" s="65">
        <f>I402+I404</f>
        <v>24193.459049999998</v>
      </c>
      <c r="K404" s="109">
        <f>SUM(J395:J404)</f>
        <v>498575.00904999999</v>
      </c>
    </row>
    <row r="405" spans="1:12" x14ac:dyDescent="0.25">
      <c r="B405" s="1"/>
      <c r="C405" s="1"/>
    </row>
    <row r="406" spans="1:12" x14ac:dyDescent="0.25">
      <c r="B406" s="57" t="s">
        <v>28</v>
      </c>
      <c r="C406" s="1"/>
      <c r="D406" s="1"/>
    </row>
    <row r="407" spans="1:12" x14ac:dyDescent="0.25">
      <c r="B407" s="1" t="s">
        <v>2</v>
      </c>
      <c r="D407" s="1"/>
      <c r="I407" s="50">
        <v>256931.35</v>
      </c>
    </row>
    <row r="408" spans="1:12" x14ac:dyDescent="0.25">
      <c r="B408" s="1" t="s">
        <v>3</v>
      </c>
      <c r="C408" s="1" t="s">
        <v>115</v>
      </c>
      <c r="D408" s="1"/>
      <c r="I408" s="65">
        <v>0</v>
      </c>
      <c r="J408" s="50">
        <f>SUM(I407:I408)</f>
        <v>256931.35</v>
      </c>
    </row>
    <row r="409" spans="1:12" x14ac:dyDescent="0.25">
      <c r="B409" s="57" t="s">
        <v>29</v>
      </c>
      <c r="C409" s="1"/>
      <c r="D409" s="1"/>
    </row>
    <row r="410" spans="1:12" x14ac:dyDescent="0.25">
      <c r="B410" s="1" t="s">
        <v>2</v>
      </c>
      <c r="C410" s="1"/>
      <c r="I410" s="50">
        <v>0</v>
      </c>
    </row>
    <row r="411" spans="1:12" x14ac:dyDescent="0.25">
      <c r="B411" s="1" t="s">
        <v>3</v>
      </c>
      <c r="C411" s="57" t="s">
        <v>6</v>
      </c>
    </row>
    <row r="412" spans="1:12" x14ac:dyDescent="0.25">
      <c r="B412" s="1"/>
      <c r="C412" s="1" t="s">
        <v>7</v>
      </c>
      <c r="I412" s="65">
        <f>I407*5.1%</f>
        <v>13103.49885</v>
      </c>
    </row>
    <row r="413" spans="1:12" x14ac:dyDescent="0.25">
      <c r="B413" s="1"/>
      <c r="C413" s="1"/>
      <c r="I413" s="50">
        <f>SUM(I410:I412)</f>
        <v>13103.49885</v>
      </c>
    </row>
    <row r="414" spans="1:12" x14ac:dyDescent="0.25">
      <c r="B414" s="1" t="s">
        <v>4</v>
      </c>
      <c r="C414" s="57" t="s">
        <v>250</v>
      </c>
      <c r="I414" s="65"/>
    </row>
    <row r="415" spans="1:12" x14ac:dyDescent="0.25">
      <c r="B415" s="1"/>
      <c r="C415" s="1"/>
      <c r="I415" s="50">
        <f>I413-I414</f>
        <v>13103.49885</v>
      </c>
      <c r="L415" s="45">
        <f>241023.78+29011.07</f>
        <v>270034.84999999998</v>
      </c>
    </row>
    <row r="416" spans="1:12" x14ac:dyDescent="0.25">
      <c r="B416" s="1" t="s">
        <v>4</v>
      </c>
      <c r="C416" s="1" t="s">
        <v>184</v>
      </c>
    </row>
    <row r="417" spans="2:12" x14ac:dyDescent="0.25">
      <c r="B417" s="1"/>
      <c r="C417" s="1" t="s">
        <v>166</v>
      </c>
      <c r="I417" s="65">
        <v>0</v>
      </c>
      <c r="J417" s="65">
        <f>I415-I417</f>
        <v>13103.49885</v>
      </c>
      <c r="K417" s="109">
        <f>SUM(J408:J417)</f>
        <v>270034.84885000001</v>
      </c>
    </row>
    <row r="419" spans="2:12" x14ac:dyDescent="0.25">
      <c r="B419" s="57" t="s">
        <v>24</v>
      </c>
      <c r="C419" s="1"/>
      <c r="D419" s="1"/>
    </row>
    <row r="420" spans="2:12" x14ac:dyDescent="0.25">
      <c r="B420" s="1" t="s">
        <v>2</v>
      </c>
      <c r="C420" s="1"/>
      <c r="I420" s="50">
        <v>266457.15999999997</v>
      </c>
    </row>
    <row r="421" spans="2:12" x14ac:dyDescent="0.25">
      <c r="B421" s="1" t="s">
        <v>3</v>
      </c>
      <c r="C421" s="1" t="s">
        <v>115</v>
      </c>
      <c r="I421" s="65"/>
      <c r="J421" s="50">
        <f>SUM(I420:I421)</f>
        <v>266457.15999999997</v>
      </c>
    </row>
    <row r="422" spans="2:12" x14ac:dyDescent="0.25">
      <c r="B422" s="57" t="s">
        <v>25</v>
      </c>
      <c r="C422" s="1"/>
      <c r="D422" s="1"/>
    </row>
    <row r="423" spans="2:12" x14ac:dyDescent="0.25">
      <c r="B423" s="1" t="s">
        <v>2</v>
      </c>
      <c r="C423" s="1"/>
      <c r="I423" s="50">
        <v>0</v>
      </c>
      <c r="L423" s="45">
        <f>249959.81+30086.67</f>
        <v>280046.48</v>
      </c>
    </row>
    <row r="424" spans="2:12" x14ac:dyDescent="0.25">
      <c r="B424" s="1" t="s">
        <v>3</v>
      </c>
      <c r="C424" s="57" t="s">
        <v>6</v>
      </c>
      <c r="L424" s="45">
        <f>L423*5.1/105.1</f>
        <v>13589.315394862035</v>
      </c>
    </row>
    <row r="425" spans="2:12" x14ac:dyDescent="0.25">
      <c r="B425" s="1"/>
      <c r="C425" s="1" t="s">
        <v>8</v>
      </c>
      <c r="I425" s="65">
        <f>I420*5.1%</f>
        <v>13589.315159999998</v>
      </c>
      <c r="L425" s="45">
        <f>L423-L424</f>
        <v>266457.16460513795</v>
      </c>
    </row>
    <row r="426" spans="2:12" x14ac:dyDescent="0.25">
      <c r="B426" s="1"/>
      <c r="C426" s="1"/>
      <c r="D426" s="1"/>
      <c r="I426" s="50">
        <f>SUM(I423:I425)</f>
        <v>13589.315159999998</v>
      </c>
    </row>
    <row r="427" spans="2:12" x14ac:dyDescent="0.25">
      <c r="B427" s="1" t="s">
        <v>4</v>
      </c>
      <c r="C427" s="1" t="s">
        <v>376</v>
      </c>
      <c r="D427" s="1"/>
    </row>
    <row r="428" spans="2:12" x14ac:dyDescent="0.25">
      <c r="B428" s="1" t="s">
        <v>4</v>
      </c>
      <c r="C428" s="57" t="s">
        <v>323</v>
      </c>
      <c r="I428" s="65"/>
    </row>
    <row r="429" spans="2:12" x14ac:dyDescent="0.25">
      <c r="B429" s="1"/>
      <c r="C429" s="1"/>
      <c r="D429" s="57"/>
      <c r="I429" s="50">
        <f>I426-I428-I427</f>
        <v>13589.315159999998</v>
      </c>
    </row>
    <row r="430" spans="2:12" x14ac:dyDescent="0.25">
      <c r="B430" s="1" t="s">
        <v>4</v>
      </c>
      <c r="C430" s="1" t="s">
        <v>184</v>
      </c>
    </row>
    <row r="431" spans="2:12" x14ac:dyDescent="0.25">
      <c r="B431" s="1"/>
      <c r="C431" s="1" t="s">
        <v>166</v>
      </c>
      <c r="I431" s="65"/>
      <c r="J431" s="65">
        <f>I429-I431</f>
        <v>13589.315159999998</v>
      </c>
      <c r="K431" s="109">
        <f>SUM(J421:J431)</f>
        <v>280046.47515999997</v>
      </c>
    </row>
    <row r="433" spans="2:12" x14ac:dyDescent="0.25">
      <c r="B433" s="57" t="s">
        <v>36</v>
      </c>
      <c r="C433" s="1"/>
      <c r="D433" s="1"/>
    </row>
    <row r="434" spans="2:12" x14ac:dyDescent="0.25">
      <c r="B434" s="1" t="s">
        <v>2</v>
      </c>
      <c r="D434" s="1"/>
      <c r="I434" s="50">
        <v>1255881.6499999999</v>
      </c>
    </row>
    <row r="435" spans="2:12" x14ac:dyDescent="0.25">
      <c r="B435" s="1" t="s">
        <v>3</v>
      </c>
      <c r="C435" s="1" t="s">
        <v>115</v>
      </c>
      <c r="D435" s="1"/>
      <c r="I435" s="65"/>
      <c r="J435" s="50">
        <f>SUM(I434:I435)</f>
        <v>1255881.6499999999</v>
      </c>
    </row>
    <row r="436" spans="2:12" x14ac:dyDescent="0.25">
      <c r="B436" s="57" t="s">
        <v>37</v>
      </c>
      <c r="C436" s="1"/>
      <c r="D436" s="1"/>
    </row>
    <row r="437" spans="2:12" x14ac:dyDescent="0.25">
      <c r="B437" s="1" t="s">
        <v>2</v>
      </c>
      <c r="C437" s="1"/>
      <c r="I437" s="50">
        <v>0</v>
      </c>
      <c r="L437" s="45">
        <f>927444.58+392487.03</f>
        <v>1319931.6099999999</v>
      </c>
    </row>
    <row r="438" spans="2:12" x14ac:dyDescent="0.25">
      <c r="B438" s="1" t="s">
        <v>3</v>
      </c>
      <c r="C438" s="57" t="s">
        <v>6</v>
      </c>
      <c r="L438" s="45">
        <f>L437*5.1/105.1</f>
        <v>64049.96394862036</v>
      </c>
    </row>
    <row r="439" spans="2:12" x14ac:dyDescent="0.25">
      <c r="B439" s="1"/>
      <c r="C439" s="1" t="s">
        <v>8</v>
      </c>
      <c r="I439" s="65">
        <f>I434*5.1%</f>
        <v>64049.964149999993</v>
      </c>
      <c r="L439" s="45">
        <f>L437-L438</f>
        <v>1255881.6460513796</v>
      </c>
    </row>
    <row r="440" spans="2:12" x14ac:dyDescent="0.25">
      <c r="B440" s="1"/>
      <c r="C440" s="1"/>
      <c r="I440" s="50">
        <f>I437+I439</f>
        <v>64049.964149999993</v>
      </c>
    </row>
    <row r="441" spans="2:12" x14ac:dyDescent="0.25">
      <c r="B441" s="1" t="s">
        <v>4</v>
      </c>
      <c r="C441" s="57" t="s">
        <v>323</v>
      </c>
      <c r="I441" s="50">
        <v>0</v>
      </c>
    </row>
    <row r="442" spans="2:12" x14ac:dyDescent="0.25">
      <c r="B442" s="1" t="s">
        <v>4</v>
      </c>
      <c r="C442" s="57" t="s">
        <v>251</v>
      </c>
      <c r="I442" s="65">
        <v>0</v>
      </c>
      <c r="J442" s="65">
        <f>I440-I442-I441</f>
        <v>64049.964149999993</v>
      </c>
      <c r="K442" s="109">
        <f>SUM(J435:J442)</f>
        <v>1319931.6141499998</v>
      </c>
    </row>
    <row r="443" spans="2:12" x14ac:dyDescent="0.25">
      <c r="B443" s="1"/>
      <c r="C443" s="1"/>
    </row>
    <row r="444" spans="2:12" x14ac:dyDescent="0.25">
      <c r="B444" s="57" t="s">
        <v>228</v>
      </c>
      <c r="C444" s="1"/>
      <c r="D444" s="1"/>
    </row>
    <row r="445" spans="2:12" x14ac:dyDescent="0.25">
      <c r="B445" s="1" t="s">
        <v>2</v>
      </c>
      <c r="D445" s="1"/>
      <c r="I445" s="50">
        <v>166364.22</v>
      </c>
    </row>
    <row r="446" spans="2:12" x14ac:dyDescent="0.25">
      <c r="B446" s="1" t="s">
        <v>3</v>
      </c>
      <c r="C446" s="1" t="s">
        <v>115</v>
      </c>
      <c r="D446" s="1"/>
      <c r="I446" s="65">
        <v>0</v>
      </c>
      <c r="J446" s="50">
        <f>SUM(I445:I446)</f>
        <v>166364.22</v>
      </c>
    </row>
    <row r="447" spans="2:12" x14ac:dyDescent="0.25">
      <c r="B447" s="57" t="s">
        <v>180</v>
      </c>
      <c r="C447" s="1"/>
      <c r="D447" s="1"/>
    </row>
    <row r="448" spans="2:12" x14ac:dyDescent="0.25">
      <c r="B448" s="1" t="s">
        <v>2</v>
      </c>
      <c r="C448" s="1"/>
      <c r="I448" s="50">
        <v>0</v>
      </c>
    </row>
    <row r="449" spans="2:12" x14ac:dyDescent="0.25">
      <c r="B449" s="1" t="s">
        <v>3</v>
      </c>
      <c r="C449" s="57" t="s">
        <v>6</v>
      </c>
    </row>
    <row r="450" spans="2:12" x14ac:dyDescent="0.25">
      <c r="B450" s="1"/>
      <c r="C450" s="1" t="s">
        <v>8</v>
      </c>
      <c r="I450" s="65">
        <f>I445*5.1%</f>
        <v>8484.5752199999988</v>
      </c>
    </row>
    <row r="451" spans="2:12" x14ac:dyDescent="0.25">
      <c r="B451" s="1"/>
      <c r="C451" s="1"/>
      <c r="I451" s="50">
        <f>I448+I450</f>
        <v>8484.5752199999988</v>
      </c>
    </row>
    <row r="452" spans="2:12" x14ac:dyDescent="0.25">
      <c r="B452" s="1" t="s">
        <v>4</v>
      </c>
      <c r="C452" s="57" t="s">
        <v>378</v>
      </c>
    </row>
    <row r="453" spans="2:12" x14ac:dyDescent="0.25">
      <c r="B453" s="1" t="s">
        <v>4</v>
      </c>
      <c r="C453" s="1" t="s">
        <v>184</v>
      </c>
    </row>
    <row r="454" spans="2:12" x14ac:dyDescent="0.25">
      <c r="B454" s="1"/>
      <c r="C454" s="1" t="s">
        <v>165</v>
      </c>
      <c r="I454" s="65"/>
      <c r="J454" s="65">
        <f>I451-I452</f>
        <v>8484.5752199999988</v>
      </c>
      <c r="K454" s="109">
        <f>SUM(J446:J454)</f>
        <v>174848.79522</v>
      </c>
      <c r="L454" s="45">
        <f>156064+18784.8</f>
        <v>174848.8</v>
      </c>
    </row>
    <row r="456" spans="2:12" x14ac:dyDescent="0.25">
      <c r="B456" s="57" t="s">
        <v>38</v>
      </c>
      <c r="C456" s="1"/>
      <c r="D456" s="1"/>
    </row>
    <row r="457" spans="2:12" x14ac:dyDescent="0.25">
      <c r="B457" s="1" t="s">
        <v>2</v>
      </c>
      <c r="D457" s="1"/>
      <c r="I457" s="50">
        <v>762459.87</v>
      </c>
    </row>
    <row r="458" spans="2:12" x14ac:dyDescent="0.25">
      <c r="B458" s="1" t="s">
        <v>3</v>
      </c>
      <c r="C458" s="1" t="s">
        <v>115</v>
      </c>
      <c r="D458" s="1"/>
      <c r="I458" s="50">
        <v>0</v>
      </c>
    </row>
    <row r="459" spans="2:12" x14ac:dyDescent="0.25">
      <c r="B459" s="1"/>
      <c r="C459" s="1"/>
      <c r="D459" s="1"/>
      <c r="I459" s="65">
        <v>0</v>
      </c>
      <c r="J459" s="50">
        <f>I457+I458+I459</f>
        <v>762459.87</v>
      </c>
    </row>
    <row r="460" spans="2:12" x14ac:dyDescent="0.25">
      <c r="B460" s="57" t="s">
        <v>39</v>
      </c>
      <c r="C460" s="1"/>
      <c r="D460" s="1"/>
    </row>
    <row r="461" spans="2:12" x14ac:dyDescent="0.25">
      <c r="B461" s="1" t="s">
        <v>2</v>
      </c>
      <c r="C461" s="1"/>
      <c r="I461" s="50">
        <v>0</v>
      </c>
    </row>
    <row r="462" spans="2:12" x14ac:dyDescent="0.25">
      <c r="B462" s="1" t="s">
        <v>3</v>
      </c>
      <c r="C462" s="57" t="s">
        <v>6</v>
      </c>
      <c r="L462" s="45">
        <f>715253.16+86092.16</f>
        <v>801345.32000000007</v>
      </c>
    </row>
    <row r="463" spans="2:12" x14ac:dyDescent="0.25">
      <c r="B463" s="1"/>
      <c r="C463" s="1" t="s">
        <v>7</v>
      </c>
      <c r="I463" s="65">
        <f>I457*5.1%</f>
        <v>38885.453369999996</v>
      </c>
    </row>
    <row r="464" spans="2:12" x14ac:dyDescent="0.25">
      <c r="B464" s="1"/>
      <c r="C464" s="1"/>
      <c r="I464" s="50">
        <f>SUM(I461:I463)</f>
        <v>38885.453369999996</v>
      </c>
    </row>
    <row r="465" spans="2:12" x14ac:dyDescent="0.25">
      <c r="B465" s="1" t="s">
        <v>4</v>
      </c>
      <c r="C465" s="57" t="s">
        <v>373</v>
      </c>
      <c r="I465" s="65"/>
    </row>
    <row r="466" spans="2:12" x14ac:dyDescent="0.25">
      <c r="B466" s="1"/>
      <c r="C466" s="1"/>
      <c r="I466" s="50">
        <f>I464-I465</f>
        <v>38885.453369999996</v>
      </c>
    </row>
    <row r="467" spans="2:12" x14ac:dyDescent="0.25">
      <c r="B467" s="1" t="s">
        <v>4</v>
      </c>
      <c r="C467" s="1" t="s">
        <v>184</v>
      </c>
    </row>
    <row r="468" spans="2:12" x14ac:dyDescent="0.25">
      <c r="C468" s="1" t="s">
        <v>165</v>
      </c>
      <c r="I468" s="65">
        <v>0</v>
      </c>
      <c r="J468" s="65">
        <f>I466-I468</f>
        <v>38885.453369999996</v>
      </c>
      <c r="K468" s="109">
        <f>SUM(J458:J468)</f>
        <v>801345.32337</v>
      </c>
    </row>
    <row r="470" spans="2:12" x14ac:dyDescent="0.25">
      <c r="B470" s="57" t="s">
        <v>76</v>
      </c>
      <c r="C470" s="1"/>
      <c r="D470" s="1"/>
    </row>
    <row r="471" spans="2:12" x14ac:dyDescent="0.25">
      <c r="B471" s="1" t="s">
        <v>2</v>
      </c>
      <c r="D471" s="1"/>
      <c r="I471" s="50">
        <v>1779406.8</v>
      </c>
    </row>
    <row r="472" spans="2:12" x14ac:dyDescent="0.25">
      <c r="B472" s="1" t="s">
        <v>3</v>
      </c>
      <c r="C472" s="1" t="s">
        <v>115</v>
      </c>
      <c r="D472" s="1"/>
      <c r="I472" s="65">
        <v>0</v>
      </c>
      <c r="J472" s="50">
        <f>SUM(I471:I472)</f>
        <v>1779406.8</v>
      </c>
    </row>
    <row r="473" spans="2:12" x14ac:dyDescent="0.25">
      <c r="B473" s="57" t="s">
        <v>74</v>
      </c>
      <c r="C473" s="1"/>
      <c r="D473" s="1"/>
    </row>
    <row r="474" spans="2:12" x14ac:dyDescent="0.25">
      <c r="B474" s="1" t="s">
        <v>2</v>
      </c>
      <c r="C474" s="1"/>
      <c r="I474" s="50">
        <v>0</v>
      </c>
    </row>
    <row r="475" spans="2:12" x14ac:dyDescent="0.25">
      <c r="B475" s="1" t="s">
        <v>3</v>
      </c>
      <c r="C475" s="57" t="s">
        <v>6</v>
      </c>
      <c r="L475" s="45">
        <f>1761776.55+108380</f>
        <v>1870156.55</v>
      </c>
    </row>
    <row r="476" spans="2:12" x14ac:dyDescent="0.25">
      <c r="B476" s="1"/>
      <c r="C476" s="1" t="s">
        <v>7</v>
      </c>
      <c r="I476" s="65">
        <f>I471*5.1%</f>
        <v>90749.746799999994</v>
      </c>
    </row>
    <row r="477" spans="2:12" x14ac:dyDescent="0.25">
      <c r="B477" s="1"/>
      <c r="C477" s="1"/>
      <c r="I477" s="50">
        <f>SUM(I474:I476)</f>
        <v>90749.746799999994</v>
      </c>
      <c r="L477" s="45">
        <f>L475*5.1/105.1</f>
        <v>90749.746955280687</v>
      </c>
    </row>
    <row r="478" spans="2:12" x14ac:dyDescent="0.25">
      <c r="B478" s="1" t="s">
        <v>4</v>
      </c>
      <c r="C478" s="57" t="s">
        <v>122</v>
      </c>
      <c r="I478" s="65"/>
      <c r="L478" s="45">
        <f>L475-L477</f>
        <v>1779406.8030447194</v>
      </c>
    </row>
    <row r="479" spans="2:12" x14ac:dyDescent="0.25">
      <c r="B479" s="1"/>
      <c r="C479" s="1"/>
      <c r="I479" s="50">
        <f>I477-I478</f>
        <v>90749.746799999994</v>
      </c>
    </row>
    <row r="480" spans="2:12" x14ac:dyDescent="0.25">
      <c r="B480" s="1" t="s">
        <v>4</v>
      </c>
      <c r="C480" s="1" t="s">
        <v>184</v>
      </c>
    </row>
    <row r="481" spans="2:12" x14ac:dyDescent="0.25">
      <c r="C481" s="1" t="s">
        <v>166</v>
      </c>
      <c r="I481" s="65">
        <v>0</v>
      </c>
      <c r="J481" s="65">
        <f>I479-I481</f>
        <v>90749.746799999994</v>
      </c>
      <c r="K481" s="109">
        <f>SUM(J472:J481)</f>
        <v>1870156.5468000001</v>
      </c>
    </row>
    <row r="482" spans="2:12" x14ac:dyDescent="0.25">
      <c r="B482" s="1"/>
      <c r="C482" s="1"/>
    </row>
    <row r="483" spans="2:12" x14ac:dyDescent="0.25">
      <c r="B483" s="1"/>
      <c r="C483" s="1"/>
    </row>
    <row r="484" spans="2:12" x14ac:dyDescent="0.25">
      <c r="B484" s="57" t="s">
        <v>259</v>
      </c>
      <c r="C484" s="1"/>
      <c r="D484" s="1"/>
    </row>
    <row r="485" spans="2:12" x14ac:dyDescent="0.25">
      <c r="B485" s="1" t="s">
        <v>2</v>
      </c>
      <c r="D485" s="1"/>
      <c r="I485" s="50">
        <v>1299877.26</v>
      </c>
    </row>
    <row r="486" spans="2:12" x14ac:dyDescent="0.25">
      <c r="B486" s="1" t="s">
        <v>3</v>
      </c>
      <c r="C486" s="1" t="s">
        <v>115</v>
      </c>
      <c r="D486" s="1"/>
      <c r="I486" s="65">
        <v>0</v>
      </c>
      <c r="J486" s="50">
        <f>I485+I486</f>
        <v>1299877.26</v>
      </c>
    </row>
    <row r="487" spans="2:12" x14ac:dyDescent="0.25">
      <c r="B487" s="57" t="s">
        <v>260</v>
      </c>
      <c r="C487" s="1"/>
      <c r="D487" s="1"/>
    </row>
    <row r="488" spans="2:12" x14ac:dyDescent="0.25">
      <c r="B488" s="1" t="s">
        <v>2</v>
      </c>
      <c r="C488" s="1"/>
      <c r="I488" s="50">
        <v>0</v>
      </c>
    </row>
    <row r="489" spans="2:12" x14ac:dyDescent="0.25">
      <c r="B489" s="1" t="s">
        <v>3</v>
      </c>
      <c r="C489" s="57" t="s">
        <v>6</v>
      </c>
    </row>
    <row r="490" spans="2:12" x14ac:dyDescent="0.25">
      <c r="B490" s="1"/>
      <c r="C490" s="1" t="s">
        <v>7</v>
      </c>
      <c r="I490" s="65">
        <f>I485*5.1%</f>
        <v>66293.740259999991</v>
      </c>
      <c r="L490" s="50">
        <f>1366171</f>
        <v>1366171</v>
      </c>
    </row>
    <row r="491" spans="2:12" x14ac:dyDescent="0.25">
      <c r="B491" s="1"/>
      <c r="C491" s="1"/>
      <c r="I491" s="50">
        <f>SUM(I488:I490)</f>
        <v>66293.740259999991</v>
      </c>
      <c r="L491" s="64">
        <f>L490*5.1/105.1</f>
        <v>66293.740247383437</v>
      </c>
    </row>
    <row r="492" spans="2:12" x14ac:dyDescent="0.25">
      <c r="B492" s="1" t="s">
        <v>4</v>
      </c>
      <c r="C492" s="57" t="s">
        <v>191</v>
      </c>
      <c r="I492" s="65"/>
      <c r="L492" s="64">
        <f>L490-L491</f>
        <v>1299877.2597526165</v>
      </c>
    </row>
    <row r="493" spans="2:12" x14ac:dyDescent="0.25">
      <c r="B493" s="1"/>
      <c r="C493" s="1"/>
      <c r="L493" s="45">
        <v>118031.96</v>
      </c>
    </row>
    <row r="494" spans="2:12" x14ac:dyDescent="0.25">
      <c r="B494" s="1" t="s">
        <v>4</v>
      </c>
      <c r="C494" s="1" t="s">
        <v>225</v>
      </c>
    </row>
    <row r="495" spans="2:12" x14ac:dyDescent="0.25">
      <c r="C495" s="1" t="s">
        <v>165</v>
      </c>
      <c r="I495" s="65">
        <f>118031.96</f>
        <v>118031.96</v>
      </c>
      <c r="J495" s="65">
        <f>I491-I492-I495</f>
        <v>-51738.219740000015</v>
      </c>
      <c r="K495" s="109">
        <f>SUM(J486:J495)</f>
        <v>1248139.0402599999</v>
      </c>
      <c r="L495" s="64">
        <f>L490-L493</f>
        <v>1248139.04</v>
      </c>
    </row>
    <row r="496" spans="2:12" x14ac:dyDescent="0.25">
      <c r="C496" s="1"/>
    </row>
    <row r="497" spans="2:12" x14ac:dyDescent="0.25">
      <c r="C497" s="1"/>
    </row>
    <row r="498" spans="2:12" x14ac:dyDescent="0.25">
      <c r="B498" s="57" t="s">
        <v>299</v>
      </c>
      <c r="C498" s="1"/>
      <c r="D498" s="1"/>
    </row>
    <row r="499" spans="2:12" x14ac:dyDescent="0.25">
      <c r="B499" s="1" t="s">
        <v>2</v>
      </c>
      <c r="D499" s="1"/>
      <c r="I499" s="50">
        <v>262044.12</v>
      </c>
    </row>
    <row r="500" spans="2:12" x14ac:dyDescent="0.25">
      <c r="B500" s="1" t="s">
        <v>3</v>
      </c>
      <c r="C500" s="45" t="s">
        <v>6</v>
      </c>
      <c r="D500" s="1"/>
    </row>
    <row r="501" spans="2:12" x14ac:dyDescent="0.25">
      <c r="B501" s="1" t="s">
        <v>3</v>
      </c>
      <c r="C501" s="1" t="s">
        <v>115</v>
      </c>
      <c r="D501" s="1"/>
      <c r="I501" s="65">
        <v>0</v>
      </c>
      <c r="J501" s="50">
        <f>I499+I501+I500</f>
        <v>262044.12</v>
      </c>
    </row>
    <row r="502" spans="2:12" x14ac:dyDescent="0.25">
      <c r="B502" s="57" t="s">
        <v>300</v>
      </c>
      <c r="C502" s="1"/>
      <c r="D502" s="1"/>
    </row>
    <row r="503" spans="2:12" x14ac:dyDescent="0.25">
      <c r="B503" s="1" t="s">
        <v>2</v>
      </c>
      <c r="C503" s="1"/>
      <c r="I503" s="50">
        <v>0</v>
      </c>
    </row>
    <row r="504" spans="2:12" x14ac:dyDescent="0.25">
      <c r="B504" s="1" t="s">
        <v>3</v>
      </c>
      <c r="C504" s="57" t="s">
        <v>6</v>
      </c>
      <c r="L504" s="45">
        <f>245820+29588.37</f>
        <v>275408.37</v>
      </c>
    </row>
    <row r="505" spans="2:12" x14ac:dyDescent="0.25">
      <c r="B505" s="1"/>
      <c r="C505" s="1" t="s">
        <v>7</v>
      </c>
      <c r="I505" s="65">
        <f>I499*5.1%</f>
        <v>13364.250119999999</v>
      </c>
    </row>
    <row r="506" spans="2:12" x14ac:dyDescent="0.25">
      <c r="B506" s="1"/>
      <c r="C506" s="1"/>
      <c r="I506" s="50">
        <f>SUM(I503:I505)</f>
        <v>13364.250119999999</v>
      </c>
    </row>
    <row r="507" spans="2:12" x14ac:dyDescent="0.25">
      <c r="B507" s="1" t="s">
        <v>4</v>
      </c>
      <c r="C507" s="57" t="s">
        <v>374</v>
      </c>
      <c r="I507" s="65"/>
    </row>
    <row r="508" spans="2:12" x14ac:dyDescent="0.25">
      <c r="B508" s="1"/>
      <c r="C508" s="1"/>
      <c r="I508" s="50">
        <f>I506-I507</f>
        <v>13364.250119999999</v>
      </c>
    </row>
    <row r="509" spans="2:12" x14ac:dyDescent="0.25">
      <c r="B509" s="1" t="s">
        <v>4</v>
      </c>
      <c r="C509" s="1" t="s">
        <v>312</v>
      </c>
    </row>
    <row r="510" spans="2:12" x14ac:dyDescent="0.25">
      <c r="C510" s="1" t="s">
        <v>264</v>
      </c>
      <c r="I510" s="65">
        <v>0</v>
      </c>
      <c r="J510" s="65">
        <f>I508+I510</f>
        <v>13364.250119999999</v>
      </c>
      <c r="K510" s="109">
        <f>SUM(J501:J510)</f>
        <v>275408.37011999998</v>
      </c>
    </row>
    <row r="511" spans="2:12" x14ac:dyDescent="0.25">
      <c r="C511" s="1"/>
    </row>
    <row r="512" spans="2:12" x14ac:dyDescent="0.25">
      <c r="C512" s="1"/>
    </row>
    <row r="513" spans="1:12" x14ac:dyDescent="0.25">
      <c r="B513" s="57" t="s">
        <v>309</v>
      </c>
      <c r="C513" s="1"/>
      <c r="D513" s="1"/>
    </row>
    <row r="514" spans="1:12" x14ac:dyDescent="0.25">
      <c r="B514" s="1" t="s">
        <v>2</v>
      </c>
      <c r="D514" s="1"/>
      <c r="I514" s="50">
        <v>299358.38</v>
      </c>
    </row>
    <row r="515" spans="1:12" x14ac:dyDescent="0.25">
      <c r="B515" s="1" t="s">
        <v>3</v>
      </c>
      <c r="C515" s="45" t="s">
        <v>6</v>
      </c>
      <c r="D515" s="1"/>
    </row>
    <row r="516" spans="1:12" x14ac:dyDescent="0.25">
      <c r="B516" s="1" t="s">
        <v>3</v>
      </c>
      <c r="C516" s="1" t="s">
        <v>115</v>
      </c>
      <c r="D516" s="1"/>
      <c r="I516" s="65">
        <v>0</v>
      </c>
      <c r="J516" s="50">
        <f>I514+I516+I515</f>
        <v>299358.38</v>
      </c>
    </row>
    <row r="517" spans="1:12" x14ac:dyDescent="0.25">
      <c r="B517" s="57" t="s">
        <v>310</v>
      </c>
      <c r="C517" s="1"/>
      <c r="D517" s="1"/>
    </row>
    <row r="518" spans="1:12" x14ac:dyDescent="0.25">
      <c r="B518" s="1" t="s">
        <v>2</v>
      </c>
      <c r="C518" s="1"/>
      <c r="I518" s="50">
        <v>0</v>
      </c>
    </row>
    <row r="519" spans="1:12" x14ac:dyDescent="0.25">
      <c r="B519" s="1" t="s">
        <v>3</v>
      </c>
      <c r="C519" s="57" t="s">
        <v>6</v>
      </c>
    </row>
    <row r="520" spans="1:12" x14ac:dyDescent="0.25">
      <c r="B520" s="1"/>
      <c r="C520" s="1" t="s">
        <v>7</v>
      </c>
      <c r="I520" s="65">
        <f>I514*5.1%</f>
        <v>15267.27738</v>
      </c>
    </row>
    <row r="521" spans="1:12" x14ac:dyDescent="0.25">
      <c r="B521" s="1"/>
      <c r="C521" s="1"/>
      <c r="I521" s="50">
        <f>SUM(I518:I520)</f>
        <v>15267.27738</v>
      </c>
    </row>
    <row r="522" spans="1:12" x14ac:dyDescent="0.25">
      <c r="B522" s="1" t="s">
        <v>4</v>
      </c>
      <c r="C522" s="57" t="s">
        <v>375</v>
      </c>
      <c r="I522" s="65"/>
    </row>
    <row r="523" spans="1:12" x14ac:dyDescent="0.25">
      <c r="B523" s="1"/>
      <c r="C523" s="1"/>
      <c r="I523" s="50">
        <f>I521-I522</f>
        <v>15267.27738</v>
      </c>
      <c r="L523" s="45">
        <f>280824+33801.66</f>
        <v>314625.66000000003</v>
      </c>
    </row>
    <row r="524" spans="1:12" x14ac:dyDescent="0.25">
      <c r="B524" s="1" t="s">
        <v>4</v>
      </c>
      <c r="C524" s="1" t="s">
        <v>311</v>
      </c>
    </row>
    <row r="525" spans="1:12" x14ac:dyDescent="0.25">
      <c r="C525" s="1" t="s">
        <v>264</v>
      </c>
      <c r="I525" s="65">
        <v>0</v>
      </c>
      <c r="J525" s="65">
        <f>I523-I525</f>
        <v>15267.27738</v>
      </c>
      <c r="K525" s="109">
        <f>SUM(J516:J525)</f>
        <v>314625.65737999999</v>
      </c>
    </row>
    <row r="526" spans="1:12" x14ac:dyDescent="0.25">
      <c r="C526" s="1"/>
    </row>
    <row r="527" spans="1:12" x14ac:dyDescent="0.25">
      <c r="A527" s="63" t="s">
        <v>123</v>
      </c>
      <c r="B527" s="1"/>
      <c r="C527" s="1"/>
    </row>
    <row r="528" spans="1:12" x14ac:dyDescent="0.25">
      <c r="B528" s="1"/>
      <c r="C528" s="1"/>
    </row>
    <row r="529" spans="2:12" x14ac:dyDescent="0.25">
      <c r="B529" s="57" t="s">
        <v>95</v>
      </c>
      <c r="C529" s="1"/>
      <c r="D529" s="1"/>
    </row>
    <row r="530" spans="2:12" x14ac:dyDescent="0.25">
      <c r="B530" s="1" t="s">
        <v>2</v>
      </c>
      <c r="C530" s="1"/>
      <c r="I530" s="50">
        <v>897749.3</v>
      </c>
    </row>
    <row r="531" spans="2:12" x14ac:dyDescent="0.25">
      <c r="B531" s="1" t="s">
        <v>3</v>
      </c>
      <c r="C531" s="1" t="s">
        <v>115</v>
      </c>
      <c r="I531" s="65">
        <v>0</v>
      </c>
      <c r="J531" s="50">
        <f>SUM(I530:I531)</f>
        <v>897749.3</v>
      </c>
    </row>
    <row r="532" spans="2:12" x14ac:dyDescent="0.25">
      <c r="B532" s="57" t="s">
        <v>124</v>
      </c>
      <c r="C532" s="1"/>
      <c r="D532" s="1"/>
      <c r="I532" s="50">
        <v>0</v>
      </c>
    </row>
    <row r="533" spans="2:12" x14ac:dyDescent="0.25">
      <c r="B533" s="1" t="s">
        <v>2</v>
      </c>
      <c r="C533" s="1"/>
      <c r="I533" s="50">
        <v>0</v>
      </c>
    </row>
    <row r="534" spans="2:12" x14ac:dyDescent="0.25">
      <c r="B534" s="1" t="s">
        <v>3</v>
      </c>
      <c r="C534" s="57" t="s">
        <v>6</v>
      </c>
    </row>
    <row r="535" spans="2:12" x14ac:dyDescent="0.25">
      <c r="B535" s="1"/>
      <c r="C535" s="1" t="s">
        <v>8</v>
      </c>
      <c r="I535" s="65">
        <f>I530*5.1%</f>
        <v>45785.2143</v>
      </c>
    </row>
    <row r="536" spans="2:12" x14ac:dyDescent="0.25">
      <c r="B536" s="1"/>
      <c r="C536" s="1"/>
      <c r="I536" s="50">
        <f>SUM(I532:I535)</f>
        <v>45785.2143</v>
      </c>
    </row>
    <row r="537" spans="2:12" x14ac:dyDescent="0.25">
      <c r="B537" s="1" t="s">
        <v>4</v>
      </c>
      <c r="C537" s="57" t="s">
        <v>284</v>
      </c>
      <c r="I537" s="65">
        <v>0</v>
      </c>
      <c r="L537" s="45">
        <f>842166.32+101368.19</f>
        <v>943534.51</v>
      </c>
    </row>
    <row r="538" spans="2:12" x14ac:dyDescent="0.25">
      <c r="B538" s="1"/>
      <c r="C538" s="1"/>
      <c r="I538" s="50">
        <f>I536-I537</f>
        <v>45785.2143</v>
      </c>
    </row>
    <row r="539" spans="2:12" x14ac:dyDescent="0.25">
      <c r="B539" s="1" t="s">
        <v>4</v>
      </c>
      <c r="C539" s="1" t="s">
        <v>184</v>
      </c>
    </row>
    <row r="540" spans="2:12" ht="15.75" customHeight="1" x14ac:dyDescent="0.25">
      <c r="B540" s="1"/>
      <c r="C540" s="257" t="s">
        <v>165</v>
      </c>
      <c r="D540" s="257"/>
      <c r="E540" s="257"/>
      <c r="F540" s="69"/>
      <c r="G540" s="69"/>
      <c r="H540" s="69"/>
    </row>
    <row r="541" spans="2:12" x14ac:dyDescent="0.25">
      <c r="B541" s="1"/>
      <c r="C541" s="69"/>
      <c r="D541" s="69"/>
      <c r="E541" s="69"/>
      <c r="F541" s="69"/>
      <c r="G541" s="69"/>
      <c r="H541" s="69"/>
      <c r="I541" s="65">
        <v>0</v>
      </c>
      <c r="J541" s="65">
        <f>I538-I541</f>
        <v>45785.2143</v>
      </c>
      <c r="K541" s="109">
        <f>SUM(J531:J541)</f>
        <v>943534.51430000004</v>
      </c>
    </row>
    <row r="543" spans="2:12" x14ac:dyDescent="0.25">
      <c r="B543" s="57" t="s">
        <v>10</v>
      </c>
      <c r="C543" s="1"/>
      <c r="D543" s="1"/>
    </row>
    <row r="544" spans="2:12" x14ac:dyDescent="0.25">
      <c r="B544" s="1" t="s">
        <v>2</v>
      </c>
      <c r="C544" s="1"/>
      <c r="I544" s="50">
        <v>98218.97</v>
      </c>
    </row>
    <row r="545" spans="2:12" x14ac:dyDescent="0.25">
      <c r="B545" s="1" t="s">
        <v>3</v>
      </c>
      <c r="C545" s="1" t="s">
        <v>115</v>
      </c>
      <c r="I545" s="65">
        <v>0</v>
      </c>
      <c r="J545" s="50">
        <f>SUM(I544:I545)</f>
        <v>98218.97</v>
      </c>
    </row>
    <row r="546" spans="2:12" x14ac:dyDescent="0.25">
      <c r="B546" s="57" t="s">
        <v>11</v>
      </c>
      <c r="C546" s="1"/>
      <c r="D546" s="1"/>
    </row>
    <row r="547" spans="2:12" x14ac:dyDescent="0.25">
      <c r="B547" s="1" t="s">
        <v>2</v>
      </c>
      <c r="C547" s="1"/>
      <c r="I547" s="50">
        <v>0</v>
      </c>
    </row>
    <row r="548" spans="2:12" x14ac:dyDescent="0.25">
      <c r="B548" s="1" t="s">
        <v>3</v>
      </c>
      <c r="C548" s="57" t="s">
        <v>6</v>
      </c>
    </row>
    <row r="549" spans="2:12" x14ac:dyDescent="0.25">
      <c r="B549" s="1"/>
      <c r="C549" s="1" t="s">
        <v>8</v>
      </c>
      <c r="I549" s="65">
        <f>I544*5.1%</f>
        <v>5009.1674699999994</v>
      </c>
    </row>
    <row r="550" spans="2:12" x14ac:dyDescent="0.25">
      <c r="B550" s="1"/>
      <c r="C550" s="1"/>
      <c r="I550" s="50">
        <f>SUM(I547:I549)</f>
        <v>5009.1674699999994</v>
      </c>
    </row>
    <row r="551" spans="2:12" x14ac:dyDescent="0.25">
      <c r="B551" s="1" t="s">
        <v>4</v>
      </c>
      <c r="C551" s="1" t="s">
        <v>184</v>
      </c>
    </row>
    <row r="552" spans="2:12" x14ac:dyDescent="0.25">
      <c r="B552" s="1"/>
      <c r="C552" s="1" t="s">
        <v>166</v>
      </c>
      <c r="I552" s="65">
        <v>0</v>
      </c>
      <c r="J552" s="65">
        <f>I550-I552</f>
        <v>5009.1674699999994</v>
      </c>
      <c r="K552" s="109">
        <f>SUM(J545:J552)</f>
        <v>103228.13747</v>
      </c>
    </row>
    <row r="554" spans="2:12" x14ac:dyDescent="0.25">
      <c r="B554" s="57" t="s">
        <v>126</v>
      </c>
      <c r="C554" s="1"/>
      <c r="D554" s="1"/>
    </row>
    <row r="555" spans="2:12" x14ac:dyDescent="0.25">
      <c r="B555" s="1" t="s">
        <v>2</v>
      </c>
      <c r="D555" s="1"/>
      <c r="I555" s="50">
        <v>42855.25</v>
      </c>
    </row>
    <row r="556" spans="2:12" x14ac:dyDescent="0.25">
      <c r="B556" s="1" t="s">
        <v>3</v>
      </c>
      <c r="C556" s="1" t="s">
        <v>115</v>
      </c>
      <c r="D556" s="1"/>
      <c r="I556" s="65">
        <v>0</v>
      </c>
      <c r="J556" s="50">
        <f>SUM(I555:I556)</f>
        <v>42855.25</v>
      </c>
    </row>
    <row r="557" spans="2:12" x14ac:dyDescent="0.25">
      <c r="B557" s="57" t="s">
        <v>125</v>
      </c>
      <c r="C557" s="1"/>
      <c r="D557" s="1"/>
    </row>
    <row r="558" spans="2:12" x14ac:dyDescent="0.25">
      <c r="B558" s="1" t="s">
        <v>2</v>
      </c>
      <c r="C558" s="1"/>
      <c r="I558" s="50">
        <v>0</v>
      </c>
    </row>
    <row r="559" spans="2:12" x14ac:dyDescent="0.25">
      <c r="B559" s="1" t="s">
        <v>3</v>
      </c>
      <c r="C559" s="57" t="s">
        <v>6</v>
      </c>
      <c r="L559" s="45">
        <f>40201.92+4838.95</f>
        <v>45040.869999999995</v>
      </c>
    </row>
    <row r="560" spans="2:12" x14ac:dyDescent="0.25">
      <c r="B560" s="1"/>
      <c r="C560" s="1" t="s">
        <v>8</v>
      </c>
      <c r="I560" s="65">
        <f>I555*5.1%</f>
        <v>2185.6177499999999</v>
      </c>
    </row>
    <row r="561" spans="1:12" x14ac:dyDescent="0.25">
      <c r="B561" s="1"/>
      <c r="C561" s="1"/>
      <c r="I561" s="50">
        <f>SUM(I558:I560)</f>
        <v>2185.6177499999999</v>
      </c>
    </row>
    <row r="562" spans="1:12" x14ac:dyDescent="0.25">
      <c r="B562" s="1" t="s">
        <v>4</v>
      </c>
      <c r="C562" s="1" t="s">
        <v>184</v>
      </c>
    </row>
    <row r="563" spans="1:12" x14ac:dyDescent="0.25">
      <c r="B563" s="1"/>
      <c r="C563" s="1" t="s">
        <v>165</v>
      </c>
      <c r="I563" s="65">
        <v>0</v>
      </c>
      <c r="J563" s="65">
        <f>I561-I563</f>
        <v>2185.6177499999999</v>
      </c>
      <c r="K563" s="109">
        <f>SUM(J556:J563)</f>
        <v>45040.867749999998</v>
      </c>
    </row>
    <row r="564" spans="1:12" x14ac:dyDescent="0.25">
      <c r="B564" s="1"/>
      <c r="C564" s="1"/>
    </row>
    <row r="565" spans="1:12" x14ac:dyDescent="0.25">
      <c r="A565" s="63" t="s">
        <v>129</v>
      </c>
      <c r="B565" s="1"/>
      <c r="C565" s="1"/>
    </row>
    <row r="567" spans="1:12" x14ac:dyDescent="0.25">
      <c r="B567" s="57" t="s">
        <v>127</v>
      </c>
      <c r="C567" s="1"/>
      <c r="D567" s="1"/>
    </row>
    <row r="568" spans="1:12" x14ac:dyDescent="0.25">
      <c r="B568" s="1" t="s">
        <v>2</v>
      </c>
      <c r="D568" s="1"/>
      <c r="I568" s="50">
        <v>5862560.0190000003</v>
      </c>
      <c r="L568" s="50"/>
    </row>
    <row r="569" spans="1:12" x14ac:dyDescent="0.25">
      <c r="B569" s="1" t="s">
        <v>3</v>
      </c>
      <c r="C569" s="1" t="s">
        <v>263</v>
      </c>
      <c r="D569" s="1"/>
    </row>
    <row r="570" spans="1:12" x14ac:dyDescent="0.25">
      <c r="B570" s="1"/>
      <c r="C570" s="1" t="s">
        <v>264</v>
      </c>
      <c r="D570" s="1"/>
      <c r="I570" s="103">
        <v>0</v>
      </c>
    </row>
    <row r="571" spans="1:12" x14ac:dyDescent="0.25">
      <c r="B571" s="1" t="s">
        <v>3</v>
      </c>
      <c r="C571" s="1" t="s">
        <v>115</v>
      </c>
      <c r="I571" s="50">
        <v>0</v>
      </c>
    </row>
    <row r="572" spans="1:12" x14ac:dyDescent="0.25">
      <c r="B572" s="1"/>
      <c r="D572" s="1"/>
    </row>
    <row r="573" spans="1:12" x14ac:dyDescent="0.25">
      <c r="B573" s="1" t="s">
        <v>4</v>
      </c>
      <c r="C573" s="57" t="s">
        <v>247</v>
      </c>
      <c r="D573" s="1"/>
      <c r="I573" s="50">
        <v>0</v>
      </c>
      <c r="J573" s="45"/>
    </row>
    <row r="574" spans="1:12" x14ac:dyDescent="0.25">
      <c r="B574" s="1" t="s">
        <v>109</v>
      </c>
      <c r="C574" s="1" t="s">
        <v>227</v>
      </c>
      <c r="I574" s="50">
        <v>0</v>
      </c>
      <c r="J574" s="45"/>
    </row>
    <row r="575" spans="1:12" x14ac:dyDescent="0.25">
      <c r="B575" s="1"/>
      <c r="C575" s="1" t="s">
        <v>179</v>
      </c>
      <c r="I575" s="50">
        <v>0</v>
      </c>
      <c r="J575" s="45"/>
    </row>
    <row r="576" spans="1:12" x14ac:dyDescent="0.25">
      <c r="B576" s="1" t="s">
        <v>331</v>
      </c>
      <c r="C576" s="1" t="s">
        <v>337</v>
      </c>
      <c r="D576" s="1"/>
      <c r="I576" s="65"/>
      <c r="J576" s="50">
        <f>I568-I576+I575+I570</f>
        <v>5862560.0190000003</v>
      </c>
    </row>
    <row r="577" spans="2:13" x14ac:dyDescent="0.25">
      <c r="B577" s="1"/>
      <c r="C577" s="1"/>
      <c r="D577" s="1"/>
    </row>
    <row r="578" spans="2:13" x14ac:dyDescent="0.25">
      <c r="B578" s="57" t="s">
        <v>128</v>
      </c>
      <c r="C578" s="1"/>
      <c r="D578" s="1"/>
    </row>
    <row r="579" spans="2:13" x14ac:dyDescent="0.25">
      <c r="B579" s="1" t="s">
        <v>2</v>
      </c>
      <c r="C579" s="1"/>
      <c r="L579" s="64"/>
      <c r="M579" s="64"/>
    </row>
    <row r="580" spans="2:13" x14ac:dyDescent="0.25">
      <c r="B580" s="1" t="s">
        <v>3</v>
      </c>
      <c r="C580" s="57" t="s">
        <v>6</v>
      </c>
      <c r="I580" s="50">
        <v>0</v>
      </c>
    </row>
    <row r="581" spans="2:13" x14ac:dyDescent="0.25">
      <c r="B581" s="1"/>
      <c r="C581" s="1" t="s">
        <v>8</v>
      </c>
      <c r="I581" s="65">
        <f>I568*5.1%</f>
        <v>298990.56096899998</v>
      </c>
      <c r="M581" s="45">
        <f>5499587.26+661963.32</f>
        <v>6161550.5800000001</v>
      </c>
    </row>
    <row r="582" spans="2:13" x14ac:dyDescent="0.25">
      <c r="B582" s="1"/>
      <c r="C582" s="1"/>
      <c r="D582" s="1"/>
      <c r="I582" s="50">
        <f>I579+I580+I581</f>
        <v>298990.56096899998</v>
      </c>
    </row>
    <row r="583" spans="2:13" x14ac:dyDescent="0.25">
      <c r="B583" s="1" t="s">
        <v>4</v>
      </c>
      <c r="C583" s="57" t="s">
        <v>5</v>
      </c>
      <c r="D583" s="1"/>
      <c r="I583" s="65">
        <v>0</v>
      </c>
      <c r="M583" s="45">
        <f>M581*5.1/105.1</f>
        <v>298990.56097050424</v>
      </c>
    </row>
    <row r="584" spans="2:13" x14ac:dyDescent="0.25">
      <c r="B584" s="1"/>
      <c r="C584" s="1"/>
      <c r="I584" s="50">
        <f>I582-I583</f>
        <v>298990.56096899998</v>
      </c>
      <c r="M584" s="45">
        <f>M581-M583</f>
        <v>5862560.0190294962</v>
      </c>
    </row>
    <row r="585" spans="2:13" x14ac:dyDescent="0.25">
      <c r="B585" s="1" t="s">
        <v>4</v>
      </c>
      <c r="C585" s="1" t="s">
        <v>184</v>
      </c>
    </row>
    <row r="586" spans="2:13" x14ac:dyDescent="0.25">
      <c r="B586" s="1"/>
      <c r="C586" s="1" t="s">
        <v>165</v>
      </c>
      <c r="I586" s="65">
        <v>0</v>
      </c>
      <c r="J586" s="65">
        <f>I584+I586</f>
        <v>298990.56096899998</v>
      </c>
      <c r="K586" s="109">
        <f>SUM(J576:J586)</f>
        <v>6161550.5799690001</v>
      </c>
    </row>
    <row r="587" spans="2:13" x14ac:dyDescent="0.25">
      <c r="B587" s="1"/>
      <c r="C587" s="1"/>
    </row>
    <row r="588" spans="2:13" x14ac:dyDescent="0.25">
      <c r="B588" s="57" t="s">
        <v>167</v>
      </c>
      <c r="C588" s="1"/>
    </row>
    <row r="589" spans="2:13" x14ac:dyDescent="0.25">
      <c r="B589" s="1" t="s">
        <v>2</v>
      </c>
      <c r="D589" s="1"/>
      <c r="I589" s="50">
        <v>1818526.72</v>
      </c>
    </row>
    <row r="590" spans="2:13" x14ac:dyDescent="0.25">
      <c r="B590" s="1" t="s">
        <v>109</v>
      </c>
      <c r="C590" s="1" t="s">
        <v>227</v>
      </c>
    </row>
    <row r="591" spans="2:13" x14ac:dyDescent="0.25">
      <c r="B591" s="1"/>
      <c r="C591" s="1" t="s">
        <v>179</v>
      </c>
      <c r="I591" s="50">
        <v>0</v>
      </c>
    </row>
    <row r="592" spans="2:13" x14ac:dyDescent="0.25">
      <c r="B592" s="1" t="s">
        <v>244</v>
      </c>
      <c r="C592" s="57" t="s">
        <v>294</v>
      </c>
    </row>
    <row r="593" spans="2:12" x14ac:dyDescent="0.25">
      <c r="B593" s="1"/>
      <c r="C593" s="1"/>
      <c r="I593" s="65"/>
      <c r="J593" s="65">
        <f>I589+I591-I592</f>
        <v>1818526.72</v>
      </c>
    </row>
    <row r="594" spans="2:12" x14ac:dyDescent="0.25">
      <c r="B594" s="1"/>
      <c r="C594" s="1"/>
    </row>
    <row r="595" spans="2:12" x14ac:dyDescent="0.25">
      <c r="B595" s="57" t="s">
        <v>245</v>
      </c>
    </row>
    <row r="596" spans="2:12" x14ac:dyDescent="0.25">
      <c r="B596" s="1" t="s">
        <v>2</v>
      </c>
      <c r="C596" s="1"/>
    </row>
    <row r="597" spans="2:12" x14ac:dyDescent="0.25">
      <c r="B597" s="1" t="s">
        <v>3</v>
      </c>
      <c r="C597" s="57" t="s">
        <v>6</v>
      </c>
      <c r="I597" s="50">
        <v>362700</v>
      </c>
      <c r="L597" s="45">
        <f>1742117-678361.21</f>
        <v>1063755.79</v>
      </c>
    </row>
    <row r="598" spans="2:12" x14ac:dyDescent="0.25">
      <c r="B598" s="1"/>
      <c r="C598" s="1" t="s">
        <v>8</v>
      </c>
      <c r="I598" s="65">
        <f>I589*5.1%</f>
        <v>92744.86271999999</v>
      </c>
    </row>
    <row r="599" spans="2:12" x14ac:dyDescent="0.25">
      <c r="B599" s="1"/>
      <c r="I599" s="43">
        <f>I597+I598</f>
        <v>455444.86271999998</v>
      </c>
    </row>
    <row r="600" spans="2:12" x14ac:dyDescent="0.25">
      <c r="B600" s="1" t="s">
        <v>4</v>
      </c>
      <c r="C600" s="57" t="s">
        <v>338</v>
      </c>
      <c r="I600" s="65">
        <v>1210215.79</v>
      </c>
    </row>
    <row r="601" spans="2:12" x14ac:dyDescent="0.25">
      <c r="B601" s="1"/>
      <c r="C601" s="1"/>
      <c r="I601" s="50">
        <f>I599-I600</f>
        <v>-754770.92728000006</v>
      </c>
    </row>
    <row r="602" spans="2:12" x14ac:dyDescent="0.25">
      <c r="B602" s="1" t="s">
        <v>4</v>
      </c>
      <c r="C602" s="1" t="s">
        <v>184</v>
      </c>
    </row>
    <row r="603" spans="2:12" x14ac:dyDescent="0.25">
      <c r="B603" s="1"/>
      <c r="C603" s="1" t="s">
        <v>165</v>
      </c>
      <c r="I603" s="65"/>
      <c r="J603" s="50">
        <f>I601-I603</f>
        <v>-754770.92728000006</v>
      </c>
      <c r="K603" s="109">
        <f>J593+J603</f>
        <v>1063755.7927199998</v>
      </c>
    </row>
    <row r="605" spans="2:12" x14ac:dyDescent="0.25">
      <c r="B605" s="57" t="s">
        <v>40</v>
      </c>
      <c r="C605" s="1"/>
      <c r="D605" s="1"/>
    </row>
    <row r="606" spans="2:12" x14ac:dyDescent="0.25">
      <c r="B606" s="1" t="s">
        <v>2</v>
      </c>
      <c r="D606" s="1"/>
      <c r="I606" s="50">
        <v>144152.82</v>
      </c>
    </row>
    <row r="607" spans="2:12" x14ac:dyDescent="0.25">
      <c r="B607" s="1" t="s">
        <v>3</v>
      </c>
      <c r="C607" s="57" t="s">
        <v>6</v>
      </c>
      <c r="I607" s="72"/>
      <c r="J607" s="72">
        <f>I606</f>
        <v>144152.82</v>
      </c>
      <c r="L607" s="45">
        <f>151504.61-90516.29</f>
        <v>60988.319999999992</v>
      </c>
    </row>
    <row r="608" spans="2:12" x14ac:dyDescent="0.25">
      <c r="B608" s="1"/>
      <c r="C608" s="1" t="s">
        <v>8</v>
      </c>
      <c r="I608" s="72"/>
      <c r="J608" s="72"/>
    </row>
    <row r="609" spans="2:12" x14ac:dyDescent="0.25">
      <c r="B609" s="1"/>
      <c r="C609" s="1"/>
      <c r="I609" s="72"/>
      <c r="J609" s="72"/>
    </row>
    <row r="610" spans="2:12" x14ac:dyDescent="0.25">
      <c r="B610" s="1" t="s">
        <v>3</v>
      </c>
      <c r="C610" s="57" t="s">
        <v>6</v>
      </c>
    </row>
    <row r="611" spans="2:12" x14ac:dyDescent="0.25">
      <c r="B611" s="1"/>
      <c r="C611" s="1" t="s">
        <v>8</v>
      </c>
      <c r="I611" s="65">
        <f>I606*5.1%</f>
        <v>7351.7938199999999</v>
      </c>
      <c r="L611" s="45">
        <v>151504.60999999999</v>
      </c>
    </row>
    <row r="612" spans="2:12" x14ac:dyDescent="0.25">
      <c r="B612" s="1"/>
      <c r="C612" s="1"/>
      <c r="I612" s="50">
        <f>SUM(I609:I611)</f>
        <v>7351.7938199999999</v>
      </c>
      <c r="L612" s="45">
        <f>L611*5.1/105.1</f>
        <v>7351.793634633681</v>
      </c>
    </row>
    <row r="613" spans="2:12" x14ac:dyDescent="0.25">
      <c r="B613" s="1" t="s">
        <v>4</v>
      </c>
      <c r="C613" s="1" t="s">
        <v>184</v>
      </c>
      <c r="L613" s="45">
        <f>L611-L612</f>
        <v>144152.81636536631</v>
      </c>
    </row>
    <row r="614" spans="2:12" x14ac:dyDescent="0.25">
      <c r="B614" s="1"/>
      <c r="C614" s="1" t="s">
        <v>165</v>
      </c>
      <c r="I614" s="65">
        <v>90516.29</v>
      </c>
      <c r="J614" s="65">
        <f>I612-I614</f>
        <v>-83164.496179999987</v>
      </c>
      <c r="K614" s="109">
        <f>SUM(J607:J614)</f>
        <v>60988.32382000002</v>
      </c>
    </row>
    <row r="615" spans="2:12" x14ac:dyDescent="0.25">
      <c r="B615" s="1"/>
      <c r="C615" s="1"/>
      <c r="I615" s="72"/>
      <c r="J615" s="72"/>
      <c r="K615" s="109"/>
    </row>
    <row r="616" spans="2:12" x14ac:dyDescent="0.25">
      <c r="B616" s="57" t="s">
        <v>313</v>
      </c>
      <c r="C616" s="1"/>
      <c r="D616" s="1"/>
    </row>
    <row r="617" spans="2:12" x14ac:dyDescent="0.25">
      <c r="B617" s="1" t="s">
        <v>2</v>
      </c>
      <c r="D617" s="1"/>
      <c r="I617" s="50">
        <v>148347.76</v>
      </c>
    </row>
    <row r="618" spans="2:12" x14ac:dyDescent="0.25">
      <c r="B618" s="1" t="s">
        <v>3</v>
      </c>
      <c r="C618" s="1" t="s">
        <v>263</v>
      </c>
      <c r="D618" s="1"/>
    </row>
    <row r="619" spans="2:12" x14ac:dyDescent="0.25">
      <c r="B619" s="1"/>
      <c r="C619" s="1" t="s">
        <v>314</v>
      </c>
      <c r="D619" s="1"/>
    </row>
    <row r="620" spans="2:12" x14ac:dyDescent="0.25">
      <c r="B620" s="1" t="s">
        <v>3</v>
      </c>
      <c r="C620" s="1" t="s">
        <v>115</v>
      </c>
      <c r="I620" s="50">
        <v>0</v>
      </c>
      <c r="L620" s="45">
        <f>139163+16750.5</f>
        <v>155913.5</v>
      </c>
    </row>
    <row r="621" spans="2:12" x14ac:dyDescent="0.25">
      <c r="B621" s="1" t="s">
        <v>4</v>
      </c>
      <c r="C621" s="57" t="s">
        <v>247</v>
      </c>
      <c r="D621" s="1"/>
      <c r="I621" s="50">
        <v>0</v>
      </c>
      <c r="J621" s="45"/>
      <c r="L621" s="45">
        <f>L620*5.1/105.1</f>
        <v>7565.7359657469078</v>
      </c>
    </row>
    <row r="622" spans="2:12" x14ac:dyDescent="0.25">
      <c r="B622" s="1"/>
      <c r="C622" s="57"/>
      <c r="D622" s="1"/>
      <c r="I622" s="65"/>
      <c r="J622" s="70">
        <f>I619+I620-I621+I617</f>
        <v>148347.76</v>
      </c>
      <c r="L622" s="45">
        <f>L620-L621</f>
        <v>148347.76403425308</v>
      </c>
    </row>
    <row r="623" spans="2:12" x14ac:dyDescent="0.25">
      <c r="B623" s="57" t="s">
        <v>315</v>
      </c>
      <c r="C623" s="1"/>
      <c r="D623" s="1"/>
    </row>
    <row r="624" spans="2:12" x14ac:dyDescent="0.25">
      <c r="B624" s="1" t="s">
        <v>2</v>
      </c>
      <c r="C624" s="1"/>
      <c r="I624" s="50">
        <v>0</v>
      </c>
    </row>
    <row r="625" spans="2:11" x14ac:dyDescent="0.25">
      <c r="B625" s="1" t="s">
        <v>3</v>
      </c>
      <c r="C625" s="57" t="s">
        <v>6</v>
      </c>
      <c r="I625" s="71"/>
    </row>
    <row r="626" spans="2:11" x14ac:dyDescent="0.25">
      <c r="B626" s="1"/>
      <c r="C626" s="1" t="s">
        <v>8</v>
      </c>
      <c r="I626" s="65">
        <f>I617*5.1%</f>
        <v>7565.7357599999996</v>
      </c>
    </row>
    <row r="627" spans="2:11" x14ac:dyDescent="0.25">
      <c r="B627" s="1"/>
      <c r="C627" s="1"/>
      <c r="D627" s="1"/>
      <c r="I627" s="50">
        <f>SUM(I624:I626)</f>
        <v>7565.7357599999996</v>
      </c>
    </row>
    <row r="628" spans="2:11" x14ac:dyDescent="0.25">
      <c r="B628" s="1" t="s">
        <v>4</v>
      </c>
      <c r="C628" s="57" t="s">
        <v>5</v>
      </c>
      <c r="D628" s="1"/>
      <c r="I628" s="65">
        <v>0</v>
      </c>
    </row>
    <row r="629" spans="2:11" x14ac:dyDescent="0.25">
      <c r="B629" s="1"/>
      <c r="C629" s="1"/>
      <c r="I629" s="50">
        <f>I627-I628</f>
        <v>7565.7357599999996</v>
      </c>
    </row>
    <row r="630" spans="2:11" x14ac:dyDescent="0.25">
      <c r="B630" s="1" t="s">
        <v>4</v>
      </c>
      <c r="C630" s="1" t="s">
        <v>184</v>
      </c>
    </row>
    <row r="631" spans="2:11" x14ac:dyDescent="0.25">
      <c r="B631" s="1"/>
      <c r="C631" s="1" t="s">
        <v>165</v>
      </c>
      <c r="I631" s="65">
        <v>0</v>
      </c>
      <c r="J631" s="65">
        <f>I629-I631</f>
        <v>7565.7357599999996</v>
      </c>
      <c r="K631" s="109">
        <f>J622+J631</f>
        <v>155913.49576000002</v>
      </c>
    </row>
    <row r="632" spans="2:11" x14ac:dyDescent="0.25">
      <c r="B632" s="1"/>
      <c r="C632" s="1"/>
    </row>
    <row r="633" spans="2:11" x14ac:dyDescent="0.25">
      <c r="B633" s="1"/>
      <c r="C633" s="1"/>
    </row>
    <row r="634" spans="2:11" x14ac:dyDescent="0.25">
      <c r="B634" s="57" t="s">
        <v>358</v>
      </c>
      <c r="C634" s="1"/>
      <c r="D634" s="1"/>
    </row>
    <row r="635" spans="2:11" x14ac:dyDescent="0.25">
      <c r="B635" s="1" t="s">
        <v>2</v>
      </c>
      <c r="D635" s="1"/>
      <c r="I635" s="50">
        <v>1325403.6399999999</v>
      </c>
    </row>
    <row r="636" spans="2:11" x14ac:dyDescent="0.25">
      <c r="B636" s="1" t="s">
        <v>3</v>
      </c>
      <c r="C636" s="1" t="s">
        <v>263</v>
      </c>
      <c r="D636" s="1"/>
    </row>
    <row r="637" spans="2:11" x14ac:dyDescent="0.25">
      <c r="B637" s="1"/>
      <c r="C637" s="1" t="s">
        <v>314</v>
      </c>
      <c r="D637" s="1"/>
    </row>
    <row r="638" spans="2:11" x14ac:dyDescent="0.25">
      <c r="B638" s="1" t="s">
        <v>3</v>
      </c>
      <c r="C638" s="1" t="s">
        <v>115</v>
      </c>
    </row>
    <row r="639" spans="2:11" x14ac:dyDescent="0.25">
      <c r="B639" s="1"/>
      <c r="D639" s="1"/>
    </row>
    <row r="640" spans="2:11" x14ac:dyDescent="0.25">
      <c r="B640" s="1" t="s">
        <v>4</v>
      </c>
      <c r="C640" s="57" t="s">
        <v>247</v>
      </c>
      <c r="D640" s="1"/>
      <c r="I640" s="65">
        <v>0</v>
      </c>
      <c r="J640" s="70">
        <f>I635+I636</f>
        <v>1325403.6399999999</v>
      </c>
    </row>
    <row r="641" spans="2:12" x14ac:dyDescent="0.25">
      <c r="B641" s="1"/>
      <c r="C641" s="57"/>
      <c r="D641" s="1"/>
    </row>
    <row r="642" spans="2:12" x14ac:dyDescent="0.25">
      <c r="B642" s="57" t="s">
        <v>326</v>
      </c>
      <c r="C642" s="57"/>
      <c r="D642" s="1"/>
    </row>
    <row r="643" spans="2:12" x14ac:dyDescent="0.25">
      <c r="B643" s="1" t="s">
        <v>2</v>
      </c>
      <c r="C643" s="1"/>
      <c r="D643" s="1"/>
      <c r="I643" s="50">
        <v>0</v>
      </c>
    </row>
    <row r="644" spans="2:12" x14ac:dyDescent="0.25">
      <c r="B644" s="1" t="s">
        <v>3</v>
      </c>
      <c r="C644" s="57" t="s">
        <v>6</v>
      </c>
      <c r="D644" s="1"/>
      <c r="L644" s="45">
        <f>1243343-850343.77</f>
        <v>392999.23</v>
      </c>
    </row>
    <row r="645" spans="2:12" x14ac:dyDescent="0.25">
      <c r="B645" s="1"/>
      <c r="C645" s="1" t="s">
        <v>8</v>
      </c>
      <c r="D645" s="1"/>
      <c r="I645" s="65">
        <f>I635*5.1%</f>
        <v>67595.58563999999</v>
      </c>
    </row>
    <row r="646" spans="2:12" x14ac:dyDescent="0.25">
      <c r="B646" s="1"/>
      <c r="C646" s="1"/>
      <c r="D646" s="1"/>
      <c r="I646" s="50">
        <f>SUM(I643:I645)</f>
        <v>67595.58563999999</v>
      </c>
    </row>
    <row r="647" spans="2:12" x14ac:dyDescent="0.25">
      <c r="B647" s="1" t="s">
        <v>4</v>
      </c>
      <c r="C647" s="57" t="s">
        <v>5</v>
      </c>
      <c r="D647" s="1"/>
      <c r="I647" s="65">
        <f>273393+160000+566607</f>
        <v>1000000</v>
      </c>
    </row>
    <row r="648" spans="2:12" x14ac:dyDescent="0.25">
      <c r="B648" s="1"/>
      <c r="C648" s="1"/>
      <c r="D648" s="1"/>
      <c r="I648" s="50">
        <f>I646-I647</f>
        <v>-932404.41436000005</v>
      </c>
    </row>
    <row r="649" spans="2:12" x14ac:dyDescent="0.25">
      <c r="B649" s="1" t="s">
        <v>4</v>
      </c>
      <c r="C649" s="1" t="s">
        <v>184</v>
      </c>
      <c r="D649" s="1"/>
    </row>
    <row r="650" spans="2:12" x14ac:dyDescent="0.25">
      <c r="B650" s="1"/>
      <c r="C650" s="1" t="s">
        <v>165</v>
      </c>
      <c r="D650" s="1"/>
      <c r="I650" s="65">
        <v>0</v>
      </c>
      <c r="J650" s="65">
        <f>I648-I650</f>
        <v>-932404.41436000005</v>
      </c>
      <c r="K650" s="109">
        <f>J640+J650</f>
        <v>392999.22563999984</v>
      </c>
    </row>
    <row r="651" spans="2:12" x14ac:dyDescent="0.25">
      <c r="B651" s="1"/>
      <c r="C651" s="1"/>
      <c r="D651" s="1"/>
    </row>
    <row r="652" spans="2:12" x14ac:dyDescent="0.25">
      <c r="B652" s="57" t="s">
        <v>324</v>
      </c>
      <c r="C652" s="1"/>
      <c r="D652" s="1"/>
    </row>
    <row r="653" spans="2:12" x14ac:dyDescent="0.25">
      <c r="B653" s="1" t="s">
        <v>2</v>
      </c>
      <c r="C653" s="1"/>
      <c r="I653" s="50">
        <v>899350.28</v>
      </c>
    </row>
    <row r="654" spans="2:12" x14ac:dyDescent="0.25">
      <c r="B654" s="1" t="s">
        <v>3</v>
      </c>
      <c r="C654" s="1" t="s">
        <v>263</v>
      </c>
      <c r="D654" s="1"/>
    </row>
    <row r="655" spans="2:12" x14ac:dyDescent="0.25">
      <c r="B655" s="1"/>
      <c r="C655" s="1" t="s">
        <v>314</v>
      </c>
      <c r="D655" s="1"/>
    </row>
    <row r="656" spans="2:12" x14ac:dyDescent="0.25">
      <c r="B656" s="1" t="s">
        <v>3</v>
      </c>
      <c r="C656" s="1" t="s">
        <v>115</v>
      </c>
    </row>
    <row r="657" spans="2:12" x14ac:dyDescent="0.25">
      <c r="B657" s="1"/>
      <c r="D657" s="1"/>
    </row>
    <row r="658" spans="2:12" x14ac:dyDescent="0.25">
      <c r="B658" s="1" t="s">
        <v>4</v>
      </c>
      <c r="C658" s="57" t="s">
        <v>247</v>
      </c>
      <c r="D658" s="1"/>
      <c r="I658" s="65"/>
      <c r="J658" s="65">
        <f>I653</f>
        <v>899350.28</v>
      </c>
    </row>
    <row r="659" spans="2:12" x14ac:dyDescent="0.25">
      <c r="B659" s="1"/>
      <c r="C659" s="1"/>
    </row>
    <row r="660" spans="2:12" x14ac:dyDescent="0.25">
      <c r="B660" s="57" t="s">
        <v>327</v>
      </c>
      <c r="C660" s="1"/>
    </row>
    <row r="661" spans="2:12" x14ac:dyDescent="0.25">
      <c r="B661" s="1" t="s">
        <v>2</v>
      </c>
      <c r="C661" s="1"/>
      <c r="I661" s="50">
        <v>0</v>
      </c>
    </row>
    <row r="662" spans="2:12" x14ac:dyDescent="0.25">
      <c r="B662" s="1" t="s">
        <v>3</v>
      </c>
      <c r="C662" s="57" t="s">
        <v>6</v>
      </c>
    </row>
    <row r="663" spans="2:12" x14ac:dyDescent="0.25">
      <c r="B663" s="1"/>
      <c r="C663" s="1" t="s">
        <v>8</v>
      </c>
      <c r="I663" s="65">
        <f>I653*5.1%</f>
        <v>45866.864280000002</v>
      </c>
    </row>
    <row r="664" spans="2:12" x14ac:dyDescent="0.25">
      <c r="B664" s="1"/>
      <c r="C664" s="1"/>
      <c r="I664" s="50">
        <f>SUM(I661:I663)</f>
        <v>45866.864280000002</v>
      </c>
    </row>
    <row r="665" spans="2:12" x14ac:dyDescent="0.25">
      <c r="B665" s="1" t="s">
        <v>4</v>
      </c>
      <c r="C665" s="57" t="s">
        <v>5</v>
      </c>
      <c r="I665" s="65">
        <v>213200</v>
      </c>
    </row>
    <row r="666" spans="2:12" x14ac:dyDescent="0.25">
      <c r="B666" s="1"/>
      <c r="C666" s="1"/>
      <c r="I666" s="50">
        <f>I664-I665</f>
        <v>-167333.13571999999</v>
      </c>
    </row>
    <row r="667" spans="2:12" x14ac:dyDescent="0.25">
      <c r="B667" s="1" t="s">
        <v>4</v>
      </c>
      <c r="C667" s="1" t="s">
        <v>184</v>
      </c>
      <c r="L667" s="45">
        <f>2486686-1754668.86</f>
        <v>732017.1399999999</v>
      </c>
    </row>
    <row r="668" spans="2:12" x14ac:dyDescent="0.25">
      <c r="B668" s="1"/>
      <c r="C668" s="1" t="s">
        <v>165</v>
      </c>
      <c r="I668" s="65">
        <v>0</v>
      </c>
      <c r="J668" s="65">
        <f>I666-I668</f>
        <v>-167333.13571999999</v>
      </c>
      <c r="K668" s="109">
        <f>J658+J668</f>
        <v>732017.14428000001</v>
      </c>
    </row>
    <row r="669" spans="2:12" x14ac:dyDescent="0.25">
      <c r="B669" s="1"/>
      <c r="C669" s="1"/>
    </row>
    <row r="670" spans="2:12" x14ac:dyDescent="0.25">
      <c r="B670" s="1"/>
      <c r="C670" s="1"/>
    </row>
    <row r="671" spans="2:12" x14ac:dyDescent="0.25">
      <c r="B671" s="57" t="s">
        <v>316</v>
      </c>
      <c r="C671" s="1"/>
      <c r="D671" s="1"/>
    </row>
    <row r="672" spans="2:12" x14ac:dyDescent="0.25">
      <c r="B672" s="1" t="s">
        <v>2</v>
      </c>
      <c r="D672" s="1"/>
      <c r="I672" s="50">
        <v>200523.13</v>
      </c>
    </row>
    <row r="673" spans="2:11" x14ac:dyDescent="0.25">
      <c r="B673" s="1" t="s">
        <v>3</v>
      </c>
      <c r="C673" s="1" t="s">
        <v>263</v>
      </c>
      <c r="D673" s="1"/>
    </row>
    <row r="674" spans="2:11" x14ac:dyDescent="0.25">
      <c r="B674" s="1"/>
      <c r="C674" s="1" t="s">
        <v>314</v>
      </c>
      <c r="D674" s="1"/>
      <c r="I674" s="50">
        <v>0</v>
      </c>
    </row>
    <row r="675" spans="2:11" x14ac:dyDescent="0.25">
      <c r="B675" s="1"/>
      <c r="C675" s="1"/>
      <c r="I675" s="50">
        <v>0</v>
      </c>
    </row>
    <row r="676" spans="2:11" x14ac:dyDescent="0.25">
      <c r="B676" s="57" t="s">
        <v>4</v>
      </c>
      <c r="C676" s="57" t="s">
        <v>294</v>
      </c>
      <c r="D676" s="1"/>
    </row>
    <row r="677" spans="2:11" x14ac:dyDescent="0.25">
      <c r="B677" s="1"/>
      <c r="C677" s="57"/>
      <c r="D677" s="1"/>
      <c r="I677" s="65"/>
      <c r="J677" s="70">
        <f>I672+I674-I676</f>
        <v>200523.13</v>
      </c>
    </row>
    <row r="678" spans="2:11" x14ac:dyDescent="0.25">
      <c r="B678" s="57" t="s">
        <v>317</v>
      </c>
      <c r="C678" s="1"/>
      <c r="D678" s="1"/>
    </row>
    <row r="679" spans="2:11" x14ac:dyDescent="0.25">
      <c r="B679" s="1" t="s">
        <v>2</v>
      </c>
      <c r="C679" s="1"/>
      <c r="I679" s="50">
        <v>0</v>
      </c>
    </row>
    <row r="680" spans="2:11" x14ac:dyDescent="0.25">
      <c r="B680" s="1" t="s">
        <v>3</v>
      </c>
      <c r="C680" s="57" t="s">
        <v>6</v>
      </c>
      <c r="I680" s="71"/>
    </row>
    <row r="681" spans="2:11" x14ac:dyDescent="0.25">
      <c r="B681" s="1"/>
      <c r="C681" s="1" t="s">
        <v>8</v>
      </c>
      <c r="I681" s="65">
        <f>I672*5.1%</f>
        <v>10226.679629999999</v>
      </c>
    </row>
    <row r="682" spans="2:11" x14ac:dyDescent="0.25">
      <c r="B682" s="1"/>
      <c r="C682" s="1"/>
      <c r="D682" s="1"/>
      <c r="I682" s="50">
        <f>SUM(I679:I681)</f>
        <v>10226.679629999999</v>
      </c>
    </row>
    <row r="683" spans="2:11" x14ac:dyDescent="0.25">
      <c r="B683" s="1" t="s">
        <v>4</v>
      </c>
      <c r="C683" s="57" t="s">
        <v>5</v>
      </c>
      <c r="D683" s="1"/>
      <c r="I683" s="65">
        <v>0</v>
      </c>
    </row>
    <row r="684" spans="2:11" x14ac:dyDescent="0.25">
      <c r="B684" s="1"/>
      <c r="C684" s="1"/>
      <c r="I684" s="50">
        <f>I682-I683</f>
        <v>10226.679629999999</v>
      </c>
    </row>
    <row r="685" spans="2:11" x14ac:dyDescent="0.25">
      <c r="B685" s="1" t="s">
        <v>4</v>
      </c>
      <c r="C685" s="1" t="s">
        <v>184</v>
      </c>
    </row>
    <row r="686" spans="2:11" x14ac:dyDescent="0.25">
      <c r="B686" s="1"/>
      <c r="C686" s="1" t="s">
        <v>165</v>
      </c>
      <c r="I686" s="65">
        <v>0</v>
      </c>
      <c r="J686" s="65">
        <f>I684-I686</f>
        <v>10226.679629999999</v>
      </c>
      <c r="K686" s="109">
        <f>J677+J686</f>
        <v>210749.80963</v>
      </c>
    </row>
    <row r="687" spans="2:11" x14ac:dyDescent="0.25">
      <c r="B687" s="1"/>
      <c r="C687" s="1"/>
    </row>
    <row r="688" spans="2:11" x14ac:dyDescent="0.25">
      <c r="B688" s="1"/>
      <c r="C688" s="1"/>
    </row>
    <row r="689" spans="2:12" x14ac:dyDescent="0.25">
      <c r="B689" s="57" t="s">
        <v>372</v>
      </c>
      <c r="C689" s="1"/>
      <c r="D689" s="1"/>
    </row>
    <row r="690" spans="2:12" x14ac:dyDescent="0.25">
      <c r="B690" s="1" t="s">
        <v>2</v>
      </c>
      <c r="C690" s="1"/>
      <c r="I690" s="50">
        <v>307742.46999999997</v>
      </c>
    </row>
    <row r="691" spans="2:12" x14ac:dyDescent="0.25">
      <c r="B691" s="1" t="s">
        <v>3</v>
      </c>
      <c r="C691" s="57" t="s">
        <v>6</v>
      </c>
    </row>
    <row r="692" spans="2:12" x14ac:dyDescent="0.25">
      <c r="B692" s="1"/>
      <c r="C692" s="57" t="s">
        <v>318</v>
      </c>
    </row>
    <row r="693" spans="2:12" x14ac:dyDescent="0.25">
      <c r="B693" s="1" t="s">
        <v>4</v>
      </c>
      <c r="C693" s="57" t="s">
        <v>5</v>
      </c>
      <c r="D693" s="1"/>
      <c r="I693" s="65"/>
      <c r="J693" s="50">
        <f>I690+I691-I693</f>
        <v>307742.46999999997</v>
      </c>
    </row>
    <row r="694" spans="2:12" x14ac:dyDescent="0.25">
      <c r="B694" s="1"/>
      <c r="C694" s="1"/>
    </row>
    <row r="695" spans="2:12" x14ac:dyDescent="0.25">
      <c r="B695" s="57" t="s">
        <v>371</v>
      </c>
      <c r="C695" s="1"/>
      <c r="D695" s="1"/>
    </row>
    <row r="696" spans="2:12" x14ac:dyDescent="0.25">
      <c r="B696" s="1" t="s">
        <v>2</v>
      </c>
      <c r="C696" s="1"/>
    </row>
    <row r="697" spans="2:12" x14ac:dyDescent="0.25">
      <c r="B697" s="1" t="s">
        <v>3</v>
      </c>
      <c r="C697" s="57" t="s">
        <v>6</v>
      </c>
      <c r="I697" s="71"/>
      <c r="L697" s="45">
        <f>288689+34748.34</f>
        <v>323437.33999999997</v>
      </c>
    </row>
    <row r="698" spans="2:12" x14ac:dyDescent="0.25">
      <c r="B698" s="1"/>
      <c r="C698" s="1" t="s">
        <v>8</v>
      </c>
      <c r="I698" s="65">
        <f>I690*5.1%</f>
        <v>15694.865969999997</v>
      </c>
    </row>
    <row r="699" spans="2:12" x14ac:dyDescent="0.25">
      <c r="B699" s="1"/>
      <c r="C699" s="1"/>
      <c r="D699" s="1"/>
      <c r="I699" s="50">
        <f>SUM(I696:I698)</f>
        <v>15694.865969999997</v>
      </c>
    </row>
    <row r="700" spans="2:12" x14ac:dyDescent="0.25">
      <c r="B700" s="1" t="s">
        <v>4</v>
      </c>
      <c r="C700" s="57" t="s">
        <v>5</v>
      </c>
      <c r="D700" s="1"/>
      <c r="I700" s="65">
        <v>0</v>
      </c>
    </row>
    <row r="701" spans="2:12" x14ac:dyDescent="0.25">
      <c r="B701" s="1"/>
      <c r="C701" s="1"/>
      <c r="I701" s="50">
        <f>I699-I700</f>
        <v>15694.865969999997</v>
      </c>
    </row>
    <row r="702" spans="2:12" x14ac:dyDescent="0.25">
      <c r="B702" s="1" t="s">
        <v>4</v>
      </c>
      <c r="C702" s="1" t="s">
        <v>184</v>
      </c>
    </row>
    <row r="703" spans="2:12" x14ac:dyDescent="0.25">
      <c r="B703" s="1"/>
      <c r="C703" s="1" t="s">
        <v>165</v>
      </c>
      <c r="I703" s="65">
        <v>0</v>
      </c>
      <c r="J703" s="65">
        <f>I701-I703</f>
        <v>15694.865969999997</v>
      </c>
      <c r="K703" s="109">
        <f>J693+J703</f>
        <v>323437.33596999996</v>
      </c>
    </row>
    <row r="704" spans="2:12" x14ac:dyDescent="0.25">
      <c r="B704" s="1"/>
      <c r="C704" s="1"/>
    </row>
    <row r="705" spans="2:13" x14ac:dyDescent="0.25">
      <c r="B705" s="57" t="s">
        <v>364</v>
      </c>
      <c r="C705" s="1"/>
      <c r="D705" s="1"/>
    </row>
    <row r="706" spans="2:13" x14ac:dyDescent="0.25">
      <c r="B706" s="1" t="s">
        <v>2</v>
      </c>
      <c r="C706" s="1"/>
      <c r="I706" s="50">
        <v>94433.49</v>
      </c>
    </row>
    <row r="707" spans="2:13" x14ac:dyDescent="0.25">
      <c r="B707" s="1" t="s">
        <v>3</v>
      </c>
      <c r="C707" s="57" t="s">
        <v>6</v>
      </c>
    </row>
    <row r="708" spans="2:13" x14ac:dyDescent="0.25">
      <c r="B708" s="1"/>
      <c r="C708" s="57" t="s">
        <v>318</v>
      </c>
    </row>
    <row r="709" spans="2:13" x14ac:dyDescent="0.25">
      <c r="B709" s="1" t="s">
        <v>4</v>
      </c>
      <c r="C709" s="57" t="s">
        <v>5</v>
      </c>
      <c r="D709" s="1"/>
      <c r="I709" s="65"/>
      <c r="J709" s="50">
        <f>I706+I707-I709</f>
        <v>94433.49</v>
      </c>
    </row>
    <row r="710" spans="2:13" x14ac:dyDescent="0.25">
      <c r="B710" s="1"/>
      <c r="C710" s="1"/>
    </row>
    <row r="711" spans="2:13" x14ac:dyDescent="0.25">
      <c r="B711" s="57" t="s">
        <v>482</v>
      </c>
      <c r="C711" s="1"/>
      <c r="D711" s="1"/>
    </row>
    <row r="712" spans="2:13" x14ac:dyDescent="0.25">
      <c r="B712" s="1" t="s">
        <v>2</v>
      </c>
      <c r="C712" s="1"/>
    </row>
    <row r="713" spans="2:13" x14ac:dyDescent="0.25">
      <c r="B713" s="1" t="s">
        <v>3</v>
      </c>
      <c r="C713" s="57" t="s">
        <v>6</v>
      </c>
      <c r="I713" s="71"/>
    </row>
    <row r="714" spans="2:13" x14ac:dyDescent="0.25">
      <c r="B714" s="1"/>
      <c r="C714" s="1" t="s">
        <v>8</v>
      </c>
      <c r="I714" s="65">
        <f>I706*5.1%</f>
        <v>4816.1079899999995</v>
      </c>
    </row>
    <row r="715" spans="2:13" x14ac:dyDescent="0.25">
      <c r="B715" s="1"/>
      <c r="C715" s="1"/>
      <c r="D715" s="1"/>
      <c r="I715" s="50">
        <f>SUM(I712:I714)</f>
        <v>4816.1079899999995</v>
      </c>
    </row>
    <row r="716" spans="2:13" x14ac:dyDescent="0.25">
      <c r="B716" s="1" t="s">
        <v>4</v>
      </c>
      <c r="C716" s="57" t="s">
        <v>379</v>
      </c>
      <c r="D716" s="1"/>
      <c r="I716" s="65">
        <v>0</v>
      </c>
    </row>
    <row r="717" spans="2:13" x14ac:dyDescent="0.25">
      <c r="B717" s="1"/>
      <c r="C717" s="1"/>
      <c r="I717" s="50">
        <f>I715-I716</f>
        <v>4816.1079899999995</v>
      </c>
      <c r="M717" s="45">
        <f>91800+7449.6</f>
        <v>99249.600000000006</v>
      </c>
    </row>
    <row r="718" spans="2:13" x14ac:dyDescent="0.25">
      <c r="B718" s="1" t="s">
        <v>4</v>
      </c>
      <c r="C718" s="1" t="s">
        <v>184</v>
      </c>
      <c r="M718" s="45">
        <f>M717*5.1/105.1</f>
        <v>4816.1080875356811</v>
      </c>
    </row>
    <row r="719" spans="2:13" x14ac:dyDescent="0.25">
      <c r="B719" s="1"/>
      <c r="C719" s="1" t="s">
        <v>165</v>
      </c>
      <c r="I719" s="65">
        <v>0</v>
      </c>
      <c r="J719" s="65">
        <f>I717-I719</f>
        <v>4816.1079899999995</v>
      </c>
      <c r="K719" s="109">
        <f>J709+J719</f>
        <v>99249.597990000009</v>
      </c>
      <c r="M719" s="45">
        <f>M717-M718</f>
        <v>94433.49191246432</v>
      </c>
    </row>
    <row r="720" spans="2:13" x14ac:dyDescent="0.25">
      <c r="B720" s="1"/>
      <c r="C720" s="1"/>
    </row>
    <row r="721" spans="2:11" x14ac:dyDescent="0.25">
      <c r="B721" s="1"/>
      <c r="C721" s="1"/>
    </row>
    <row r="722" spans="2:11" x14ac:dyDescent="0.25">
      <c r="B722" s="57" t="s">
        <v>366</v>
      </c>
      <c r="C722" s="1"/>
    </row>
    <row r="723" spans="2:11" x14ac:dyDescent="0.25">
      <c r="B723" s="1" t="s">
        <v>2</v>
      </c>
      <c r="C723" s="1"/>
      <c r="I723" s="50">
        <v>11395.54</v>
      </c>
    </row>
    <row r="724" spans="2:11" x14ac:dyDescent="0.25">
      <c r="B724" s="1" t="s">
        <v>3</v>
      </c>
      <c r="C724" s="57" t="s">
        <v>6</v>
      </c>
      <c r="I724" s="71"/>
    </row>
    <row r="725" spans="2:11" x14ac:dyDescent="0.25">
      <c r="B725" s="1"/>
      <c r="C725" s="1" t="s">
        <v>8</v>
      </c>
      <c r="I725" s="65">
        <f>I723*5.1%</f>
        <v>581.17254000000003</v>
      </c>
    </row>
    <row r="726" spans="2:11" x14ac:dyDescent="0.25">
      <c r="B726" s="1"/>
      <c r="C726" s="1"/>
      <c r="I726" s="50">
        <f>I724+I725+I723</f>
        <v>11976.71254</v>
      </c>
    </row>
    <row r="727" spans="2:11" x14ac:dyDescent="0.25">
      <c r="B727" s="1" t="s">
        <v>4</v>
      </c>
      <c r="C727" s="57" t="s">
        <v>5</v>
      </c>
      <c r="I727" s="65"/>
    </row>
    <row r="728" spans="2:11" x14ac:dyDescent="0.25">
      <c r="B728" s="1"/>
      <c r="C728" s="1"/>
      <c r="I728" s="50">
        <f>I726-I727</f>
        <v>11976.71254</v>
      </c>
    </row>
    <row r="729" spans="2:11" x14ac:dyDescent="0.25">
      <c r="B729" s="1" t="s">
        <v>4</v>
      </c>
      <c r="C729" s="1" t="s">
        <v>184</v>
      </c>
    </row>
    <row r="730" spans="2:11" x14ac:dyDescent="0.25">
      <c r="B730" s="1"/>
      <c r="C730" s="1" t="s">
        <v>165</v>
      </c>
      <c r="I730" s="65"/>
      <c r="J730" s="50">
        <f>I728-I730</f>
        <v>11976.71254</v>
      </c>
      <c r="K730" s="111">
        <f>J730</f>
        <v>11976.71254</v>
      </c>
    </row>
    <row r="731" spans="2:11" x14ac:dyDescent="0.25">
      <c r="B731" s="57"/>
      <c r="C731" s="1"/>
    </row>
    <row r="732" spans="2:11" x14ac:dyDescent="0.25">
      <c r="B732" s="1"/>
      <c r="C732" s="1"/>
    </row>
    <row r="733" spans="2:11" x14ac:dyDescent="0.25">
      <c r="B733" s="57" t="s">
        <v>369</v>
      </c>
      <c r="C733" s="1"/>
      <c r="I733" s="50" t="s">
        <v>181</v>
      </c>
    </row>
    <row r="734" spans="2:11" x14ac:dyDescent="0.25">
      <c r="B734" s="1" t="s">
        <v>2</v>
      </c>
      <c r="C734" s="1"/>
      <c r="I734" s="50">
        <v>11395.54</v>
      </c>
    </row>
    <row r="735" spans="2:11" x14ac:dyDescent="0.25">
      <c r="B735" s="1" t="s">
        <v>3</v>
      </c>
      <c r="C735" s="57" t="s">
        <v>6</v>
      </c>
      <c r="I735" s="71"/>
    </row>
    <row r="736" spans="2:11" x14ac:dyDescent="0.25">
      <c r="B736" s="1"/>
      <c r="C736" s="1" t="s">
        <v>8</v>
      </c>
      <c r="I736" s="65">
        <f>I734*5.1%</f>
        <v>581.17254000000003</v>
      </c>
    </row>
    <row r="737" spans="2:12" x14ac:dyDescent="0.25">
      <c r="B737" s="1"/>
      <c r="C737" s="1"/>
      <c r="I737" s="50">
        <f>I734+I735+I736</f>
        <v>11976.71254</v>
      </c>
    </row>
    <row r="738" spans="2:12" x14ac:dyDescent="0.25">
      <c r="B738" s="1" t="s">
        <v>4</v>
      </c>
      <c r="C738" s="57" t="s">
        <v>5</v>
      </c>
      <c r="I738" s="65"/>
    </row>
    <row r="739" spans="2:12" x14ac:dyDescent="0.25">
      <c r="B739" s="1"/>
      <c r="C739" s="1"/>
      <c r="I739" s="50">
        <f>I737-I738</f>
        <v>11976.71254</v>
      </c>
    </row>
    <row r="740" spans="2:12" x14ac:dyDescent="0.25">
      <c r="B740" s="1" t="s">
        <v>4</v>
      </c>
      <c r="C740" s="1" t="s">
        <v>184</v>
      </c>
    </row>
    <row r="741" spans="2:12" x14ac:dyDescent="0.25">
      <c r="B741" s="1"/>
      <c r="C741" s="1" t="s">
        <v>165</v>
      </c>
      <c r="I741" s="65"/>
      <c r="J741" s="50">
        <f>I739-I741</f>
        <v>11976.71254</v>
      </c>
      <c r="K741" s="111">
        <f>J741</f>
        <v>11976.71254</v>
      </c>
    </row>
    <row r="742" spans="2:12" x14ac:dyDescent="0.25">
      <c r="B742" s="1"/>
      <c r="C742" s="1"/>
      <c r="I742" s="72"/>
    </row>
    <row r="743" spans="2:12" x14ac:dyDescent="0.25">
      <c r="B743" s="57" t="s">
        <v>483</v>
      </c>
      <c r="C743" s="1"/>
      <c r="D743" s="1"/>
    </row>
    <row r="744" spans="2:12" x14ac:dyDescent="0.25">
      <c r="B744" s="1" t="s">
        <v>2</v>
      </c>
      <c r="C744" s="1"/>
      <c r="I744" s="50">
        <v>528479.62</v>
      </c>
    </row>
    <row r="745" spans="2:12" x14ac:dyDescent="0.25">
      <c r="B745" s="1" t="s">
        <v>3</v>
      </c>
      <c r="C745" s="57" t="s">
        <v>6</v>
      </c>
      <c r="I745" s="50">
        <v>0</v>
      </c>
    </row>
    <row r="746" spans="2:12" x14ac:dyDescent="0.25">
      <c r="B746" s="1"/>
      <c r="C746" s="57" t="s">
        <v>318</v>
      </c>
    </row>
    <row r="747" spans="2:12" x14ac:dyDescent="0.25">
      <c r="B747" s="1" t="s">
        <v>4</v>
      </c>
      <c r="C747" s="57" t="s">
        <v>5</v>
      </c>
      <c r="D747" s="1"/>
      <c r="I747" s="65"/>
      <c r="J747" s="50">
        <f>I744+I745-I747</f>
        <v>528479.62</v>
      </c>
    </row>
    <row r="748" spans="2:12" x14ac:dyDescent="0.25">
      <c r="B748" s="1"/>
      <c r="C748" s="1"/>
    </row>
    <row r="749" spans="2:12" x14ac:dyDescent="0.25">
      <c r="B749" s="57" t="s">
        <v>484</v>
      </c>
      <c r="C749" s="1"/>
      <c r="D749" s="1"/>
    </row>
    <row r="750" spans="2:12" x14ac:dyDescent="0.25">
      <c r="B750" s="1" t="s">
        <v>2</v>
      </c>
      <c r="C750" s="1"/>
    </row>
    <row r="751" spans="2:12" x14ac:dyDescent="0.25">
      <c r="B751" s="1" t="s">
        <v>3</v>
      </c>
      <c r="C751" s="57" t="s">
        <v>6</v>
      </c>
      <c r="I751" s="71"/>
      <c r="L751" s="45">
        <f>497500+57932.09</f>
        <v>555432.09</v>
      </c>
    </row>
    <row r="752" spans="2:12" x14ac:dyDescent="0.25">
      <c r="B752" s="1"/>
      <c r="C752" s="1" t="s">
        <v>8</v>
      </c>
      <c r="I752" s="65">
        <f>I744*5.1%</f>
        <v>26952.460619999998</v>
      </c>
    </row>
    <row r="753" spans="2:12" x14ac:dyDescent="0.25">
      <c r="B753" s="1"/>
      <c r="C753" s="1"/>
      <c r="D753" s="1"/>
      <c r="I753" s="50">
        <f>SUM(I750:I752)</f>
        <v>26952.460619999998</v>
      </c>
    </row>
    <row r="754" spans="2:12" x14ac:dyDescent="0.25">
      <c r="B754" s="1" t="s">
        <v>4</v>
      </c>
      <c r="C754" s="57" t="s">
        <v>379</v>
      </c>
      <c r="D754" s="1"/>
      <c r="I754" s="65">
        <v>0</v>
      </c>
      <c r="L754" s="45">
        <f>L751*5.1/105.1</f>
        <v>26952.461075166506</v>
      </c>
    </row>
    <row r="755" spans="2:12" x14ac:dyDescent="0.25">
      <c r="B755" s="1"/>
      <c r="C755" s="1"/>
      <c r="I755" s="50">
        <f>I753-I754</f>
        <v>26952.460619999998</v>
      </c>
      <c r="L755" s="45">
        <f>L751-L754</f>
        <v>528479.62892483349</v>
      </c>
    </row>
    <row r="756" spans="2:12" x14ac:dyDescent="0.25">
      <c r="B756" s="1" t="s">
        <v>4</v>
      </c>
      <c r="C756" s="1" t="s">
        <v>184</v>
      </c>
    </row>
    <row r="757" spans="2:12" x14ac:dyDescent="0.25">
      <c r="B757" s="1"/>
      <c r="C757" s="1" t="s">
        <v>165</v>
      </c>
      <c r="I757" s="65">
        <v>0</v>
      </c>
      <c r="J757" s="65">
        <f>I755-I757</f>
        <v>26952.460619999998</v>
      </c>
      <c r="K757" s="109">
        <f>J747+J757</f>
        <v>555432.08062000002</v>
      </c>
    </row>
    <row r="758" spans="2:12" x14ac:dyDescent="0.25">
      <c r="B758" s="1"/>
      <c r="C758" s="1"/>
      <c r="I758" s="72"/>
    </row>
    <row r="759" spans="2:12" x14ac:dyDescent="0.25">
      <c r="B759" s="57" t="s">
        <v>508</v>
      </c>
      <c r="C759" s="1"/>
      <c r="D759" s="1"/>
    </row>
    <row r="760" spans="2:12" x14ac:dyDescent="0.25">
      <c r="B760" s="1" t="s">
        <v>2</v>
      </c>
      <c r="C760" s="1"/>
    </row>
    <row r="761" spans="2:12" x14ac:dyDescent="0.25">
      <c r="B761" s="1" t="s">
        <v>3</v>
      </c>
      <c r="C761" s="57" t="s">
        <v>6</v>
      </c>
      <c r="I761" s="50">
        <v>195052.33</v>
      </c>
    </row>
    <row r="762" spans="2:12" x14ac:dyDescent="0.25">
      <c r="B762" s="1"/>
      <c r="C762" s="57" t="s">
        <v>318</v>
      </c>
    </row>
    <row r="763" spans="2:12" x14ac:dyDescent="0.25">
      <c r="B763" s="1" t="s">
        <v>4</v>
      </c>
      <c r="C763" s="57" t="s">
        <v>5</v>
      </c>
      <c r="D763" s="1"/>
      <c r="I763" s="65"/>
      <c r="J763" s="50">
        <f>I760+I761-I763</f>
        <v>195052.33</v>
      </c>
    </row>
    <row r="764" spans="2:12" x14ac:dyDescent="0.25">
      <c r="B764" s="1"/>
      <c r="C764" s="1"/>
    </row>
    <row r="765" spans="2:12" x14ac:dyDescent="0.25">
      <c r="B765" s="57" t="s">
        <v>509</v>
      </c>
      <c r="C765" s="1"/>
      <c r="D765" s="1"/>
    </row>
    <row r="766" spans="2:12" x14ac:dyDescent="0.25">
      <c r="B766" s="1" t="s">
        <v>2</v>
      </c>
      <c r="C766" s="1"/>
    </row>
    <row r="767" spans="2:12" x14ac:dyDescent="0.25">
      <c r="B767" s="1" t="s">
        <v>3</v>
      </c>
      <c r="C767" s="57" t="s">
        <v>6</v>
      </c>
      <c r="I767" s="71"/>
    </row>
    <row r="768" spans="2:12" x14ac:dyDescent="0.25">
      <c r="B768" s="1"/>
      <c r="C768" s="1" t="s">
        <v>8</v>
      </c>
      <c r="I768" s="65">
        <f>I761*5.1%</f>
        <v>9947.6688299999987</v>
      </c>
    </row>
    <row r="769" spans="1:13" x14ac:dyDescent="0.25">
      <c r="B769" s="1"/>
      <c r="C769" s="1"/>
      <c r="D769" s="1"/>
      <c r="I769" s="50">
        <f>SUM(I766:I768)</f>
        <v>9947.6688299999987</v>
      </c>
      <c r="L769" s="45">
        <v>205000</v>
      </c>
      <c r="M769" s="45">
        <f>L769-10055</f>
        <v>194945</v>
      </c>
    </row>
    <row r="770" spans="1:13" x14ac:dyDescent="0.25">
      <c r="B770" s="1" t="s">
        <v>4</v>
      </c>
      <c r="C770" s="57" t="s">
        <v>379</v>
      </c>
      <c r="D770" s="1"/>
      <c r="I770" s="65"/>
      <c r="L770" s="45">
        <f>L769*5.1/105.1</f>
        <v>9947.6688867744997</v>
      </c>
    </row>
    <row r="771" spans="1:13" x14ac:dyDescent="0.25">
      <c r="B771" s="1"/>
      <c r="C771" s="1"/>
      <c r="I771" s="50">
        <f>I769-I770</f>
        <v>9947.6688299999987</v>
      </c>
      <c r="L771" s="45">
        <f>L769-L770</f>
        <v>195052.33111322549</v>
      </c>
    </row>
    <row r="772" spans="1:13" x14ac:dyDescent="0.25">
      <c r="B772" s="1" t="s">
        <v>4</v>
      </c>
      <c r="C772" s="1" t="s">
        <v>184</v>
      </c>
    </row>
    <row r="773" spans="1:13" x14ac:dyDescent="0.25">
      <c r="B773" s="1"/>
      <c r="C773" s="1" t="s">
        <v>165</v>
      </c>
      <c r="I773" s="65">
        <v>10055</v>
      </c>
      <c r="J773" s="65">
        <f>I771-I773</f>
        <v>-107.33117000000129</v>
      </c>
      <c r="K773" s="109">
        <f>J763+J773</f>
        <v>194944.99883</v>
      </c>
    </row>
    <row r="774" spans="1:13" x14ac:dyDescent="0.25">
      <c r="B774" s="1"/>
      <c r="C774" s="1"/>
      <c r="I774" s="72"/>
    </row>
    <row r="775" spans="1:13" x14ac:dyDescent="0.25">
      <c r="B775" s="57" t="s">
        <v>513</v>
      </c>
      <c r="C775" s="1"/>
      <c r="D775" s="1"/>
    </row>
    <row r="776" spans="1:13" x14ac:dyDescent="0.25">
      <c r="B776" s="1" t="s">
        <v>2</v>
      </c>
      <c r="C776" s="1"/>
      <c r="I776" s="50">
        <v>3000000</v>
      </c>
    </row>
    <row r="777" spans="1:13" x14ac:dyDescent="0.25">
      <c r="B777" s="1" t="s">
        <v>3</v>
      </c>
      <c r="C777" s="57" t="s">
        <v>6</v>
      </c>
    </row>
    <row r="778" spans="1:13" x14ac:dyDescent="0.25">
      <c r="B778" s="1"/>
      <c r="C778" s="57" t="s">
        <v>318</v>
      </c>
    </row>
    <row r="779" spans="1:13" x14ac:dyDescent="0.25">
      <c r="B779" s="1" t="s">
        <v>4</v>
      </c>
      <c r="C779" s="57" t="s">
        <v>5</v>
      </c>
      <c r="D779" s="1"/>
      <c r="I779" s="65"/>
      <c r="J779" s="50">
        <f>I776+I777-I779</f>
        <v>3000000</v>
      </c>
    </row>
    <row r="780" spans="1:13" x14ac:dyDescent="0.25">
      <c r="B780" s="1"/>
      <c r="C780" s="1"/>
    </row>
    <row r="781" spans="1:13" x14ac:dyDescent="0.25">
      <c r="A781" s="1"/>
      <c r="B781" s="57" t="s">
        <v>514</v>
      </c>
      <c r="C781" s="1"/>
      <c r="D781" s="1"/>
    </row>
    <row r="782" spans="1:13" x14ac:dyDescent="0.25">
      <c r="B782" s="1" t="s">
        <v>2</v>
      </c>
      <c r="C782" s="1"/>
      <c r="L782" s="64"/>
    </row>
    <row r="783" spans="1:13" x14ac:dyDescent="0.25">
      <c r="B783" s="1" t="s">
        <v>3</v>
      </c>
      <c r="C783" s="57" t="s">
        <v>6</v>
      </c>
      <c r="I783" s="71"/>
    </row>
    <row r="784" spans="1:13" x14ac:dyDescent="0.25">
      <c r="B784" s="1"/>
      <c r="C784" s="1" t="s">
        <v>8</v>
      </c>
      <c r="I784" s="65">
        <f>I776*5.1%</f>
        <v>153000</v>
      </c>
    </row>
    <row r="785" spans="2:13" x14ac:dyDescent="0.25">
      <c r="B785" s="1"/>
      <c r="C785" s="1"/>
      <c r="D785" s="1"/>
      <c r="I785" s="50">
        <f>SUM(I782:I784)</f>
        <v>153000</v>
      </c>
    </row>
    <row r="786" spans="2:13" x14ac:dyDescent="0.25">
      <c r="B786" s="1" t="s">
        <v>4</v>
      </c>
      <c r="C786" s="57" t="s">
        <v>379</v>
      </c>
      <c r="D786" s="1"/>
      <c r="I786" s="65"/>
    </row>
    <row r="787" spans="2:13" x14ac:dyDescent="0.25">
      <c r="B787" s="1"/>
      <c r="C787" s="1"/>
      <c r="I787" s="50">
        <f>I785-I786</f>
        <v>153000</v>
      </c>
    </row>
    <row r="788" spans="2:13" x14ac:dyDescent="0.25">
      <c r="B788" s="1" t="s">
        <v>4</v>
      </c>
      <c r="C788" s="1" t="s">
        <v>184</v>
      </c>
    </row>
    <row r="789" spans="2:13" x14ac:dyDescent="0.25">
      <c r="B789" s="1"/>
      <c r="C789" s="1" t="s">
        <v>165</v>
      </c>
      <c r="I789" s="65">
        <v>0</v>
      </c>
      <c r="J789" s="65">
        <f>I787-I789</f>
        <v>153000</v>
      </c>
      <c r="K789" s="109">
        <f>J779+J789</f>
        <v>3153000</v>
      </c>
    </row>
    <row r="790" spans="2:13" x14ac:dyDescent="0.25">
      <c r="B790" s="1"/>
      <c r="C790" s="1"/>
      <c r="I790" s="72"/>
    </row>
    <row r="791" spans="2:13" x14ac:dyDescent="0.25">
      <c r="B791" s="57" t="s">
        <v>527</v>
      </c>
      <c r="C791" s="1"/>
      <c r="D791" s="1"/>
    </row>
    <row r="792" spans="2:13" x14ac:dyDescent="0.25">
      <c r="B792" s="1" t="s">
        <v>2</v>
      </c>
      <c r="D792" s="1"/>
      <c r="I792" s="50">
        <v>927687.92</v>
      </c>
    </row>
    <row r="793" spans="2:13" x14ac:dyDescent="0.25">
      <c r="B793" s="1" t="s">
        <v>3</v>
      </c>
      <c r="C793" s="45" t="s">
        <v>115</v>
      </c>
      <c r="D793" s="1"/>
      <c r="I793" s="65">
        <v>0</v>
      </c>
      <c r="J793" s="50">
        <f>SUM(I792:I793)</f>
        <v>927687.92</v>
      </c>
    </row>
    <row r="794" spans="2:13" x14ac:dyDescent="0.25">
      <c r="B794" s="57" t="s">
        <v>528</v>
      </c>
      <c r="C794" s="1"/>
      <c r="D794" s="1"/>
    </row>
    <row r="795" spans="2:13" x14ac:dyDescent="0.25">
      <c r="B795" s="1" t="s">
        <v>2</v>
      </c>
      <c r="C795" s="1"/>
      <c r="I795" s="50">
        <v>0</v>
      </c>
    </row>
    <row r="796" spans="2:13" x14ac:dyDescent="0.25">
      <c r="B796" s="1" t="s">
        <v>70</v>
      </c>
      <c r="C796" s="57" t="s">
        <v>6</v>
      </c>
    </row>
    <row r="797" spans="2:13" x14ac:dyDescent="0.25">
      <c r="B797" s="1"/>
      <c r="C797" s="1" t="s">
        <v>8</v>
      </c>
      <c r="I797" s="65">
        <f>I792*5.1%</f>
        <v>47312.083919999997</v>
      </c>
      <c r="M797" s="45">
        <f>975000</f>
        <v>975000</v>
      </c>
    </row>
    <row r="798" spans="2:13" x14ac:dyDescent="0.25">
      <c r="B798" s="1"/>
      <c r="C798" s="1"/>
      <c r="I798" s="50">
        <f>SUM(I795:I797)</f>
        <v>47312.083919999997</v>
      </c>
      <c r="M798" s="45">
        <f>M797*5.1/105.1</f>
        <v>47312.083729781167</v>
      </c>
    </row>
    <row r="799" spans="2:13" x14ac:dyDescent="0.25">
      <c r="B799" s="1" t="s">
        <v>71</v>
      </c>
      <c r="C799" s="57" t="s">
        <v>113</v>
      </c>
      <c r="I799" s="65">
        <v>0</v>
      </c>
      <c r="M799" s="45">
        <f>M797-M798</f>
        <v>927687.91627021879</v>
      </c>
    </row>
    <row r="800" spans="2:13" x14ac:dyDescent="0.25">
      <c r="B800" s="1"/>
      <c r="C800" s="1"/>
      <c r="I800" s="50">
        <f>I798-I799</f>
        <v>47312.083919999997</v>
      </c>
    </row>
    <row r="801" spans="2:13" x14ac:dyDescent="0.25">
      <c r="B801" s="1" t="s">
        <v>4</v>
      </c>
      <c r="C801" s="1" t="s">
        <v>184</v>
      </c>
    </row>
    <row r="802" spans="2:13" x14ac:dyDescent="0.25">
      <c r="B802" s="1"/>
      <c r="C802" s="1" t="s">
        <v>165</v>
      </c>
      <c r="I802" s="65">
        <v>0</v>
      </c>
      <c r="J802" s="65">
        <f>I800-I802</f>
        <v>47312.083919999997</v>
      </c>
      <c r="K802" s="109">
        <f>SUM(J793:J802)</f>
        <v>975000.00392000005</v>
      </c>
    </row>
    <row r="803" spans="2:13" x14ac:dyDescent="0.25">
      <c r="B803" s="1"/>
      <c r="C803" s="1"/>
      <c r="I803" s="50">
        <f>I801-I802</f>
        <v>0</v>
      </c>
    </row>
    <row r="804" spans="2:13" x14ac:dyDescent="0.25">
      <c r="B804" s="1"/>
      <c r="C804" s="1"/>
    </row>
    <row r="805" spans="2:13" x14ac:dyDescent="0.25">
      <c r="B805" s="1"/>
      <c r="C805" s="1"/>
      <c r="I805" s="65">
        <v>0</v>
      </c>
      <c r="J805" s="65">
        <f>I803-I805</f>
        <v>0</v>
      </c>
    </row>
    <row r="806" spans="2:13" x14ac:dyDescent="0.25">
      <c r="B806" s="1"/>
      <c r="C806" s="1"/>
      <c r="I806" s="72"/>
    </row>
    <row r="807" spans="2:13" x14ac:dyDescent="0.25">
      <c r="B807" s="1"/>
      <c r="C807" s="1"/>
      <c r="I807" s="72"/>
    </row>
    <row r="808" spans="2:13" ht="16.5" thickBot="1" x14ac:dyDescent="0.3"/>
    <row r="809" spans="2:13" ht="16.5" thickBot="1" x14ac:dyDescent="0.3">
      <c r="B809" s="1"/>
      <c r="H809" s="50"/>
      <c r="K809" s="110">
        <f>SUM(K8:K808)</f>
        <v>34635262.784028992</v>
      </c>
      <c r="L809" s="64">
        <f>K809-34585729.48</f>
        <v>49533.304028995335</v>
      </c>
    </row>
    <row r="812" spans="2:13" x14ac:dyDescent="0.25">
      <c r="M812" s="64">
        <f>34608779.52-34585729.48</f>
        <v>23050.040000006557</v>
      </c>
    </row>
  </sheetData>
  <mergeCells count="1">
    <mergeCell ref="C540:E540"/>
  </mergeCells>
  <phoneticPr fontId="2" type="noConversion"/>
  <printOptions horizontalCentered="1"/>
  <pageMargins left="0" right="3.937007874015748E-2" top="0.27559055118110237" bottom="0.43307086614173229" header="0.23622047244094491" footer="0.51181102362204722"/>
  <pageSetup paperSize="9" scale="53" orientation="portrait" r:id="rId1"/>
  <headerFooter alignWithMargins="0">
    <oddFooter>Page &amp;P</oddFooter>
  </headerFooter>
  <rowBreaks count="12" manualBreakCount="12">
    <brk id="60" max="16383" man="1"/>
    <brk id="118" max="16383" man="1"/>
    <brk id="186" max="10" man="1"/>
    <brk id="250" max="10" man="1"/>
    <brk id="310" max="10" man="1"/>
    <brk id="363" max="16383" man="1"/>
    <brk id="404" max="16383" man="1"/>
    <brk id="443" max="16383" man="1"/>
    <brk id="510" max="10" man="1"/>
    <brk id="564" max="16383" man="1"/>
    <brk id="651" max="10" man="1"/>
    <brk id="720" max="10" man="1"/>
  </rowBreaks>
  <ignoredErrors>
    <ignoredError sqref="J531 I53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1E15F-05C4-425D-B64D-93CDA267537D}">
  <dimension ref="A1:L66"/>
  <sheetViews>
    <sheetView view="pageBreakPreview" zoomScale="60" zoomScaleNormal="100" workbookViewId="0">
      <selection activeCell="F1" sqref="F1"/>
    </sheetView>
  </sheetViews>
  <sheetFormatPr defaultColWidth="9.140625" defaultRowHeight="23.25" x14ac:dyDescent="0.35"/>
  <cols>
    <col min="1" max="1" width="3.42578125" style="144" customWidth="1"/>
    <col min="2" max="2" width="4.140625" style="144" customWidth="1"/>
    <col min="3" max="3" width="9.5703125" style="144" customWidth="1"/>
    <col min="4" max="4" width="10.140625" style="144" bestFit="1" customWidth="1"/>
    <col min="5" max="5" width="45.42578125" style="144" customWidth="1"/>
    <col min="6" max="6" width="91.140625" style="144" customWidth="1"/>
    <col min="7" max="7" width="27.5703125" style="144" bestFit="1" customWidth="1"/>
    <col min="8" max="8" width="30.5703125" style="144" customWidth="1"/>
    <col min="9" max="9" width="9.140625" style="144"/>
    <col min="10" max="10" width="11.85546875" style="144" bestFit="1" customWidth="1"/>
    <col min="11" max="11" width="27.5703125" style="144" bestFit="1" customWidth="1"/>
    <col min="12" max="12" width="9.7109375" style="144" bestFit="1" customWidth="1"/>
    <col min="13" max="16384" width="9.140625" style="144"/>
  </cols>
  <sheetData>
    <row r="1" spans="1:12" x14ac:dyDescent="0.35">
      <c r="F1" s="144" t="s">
        <v>433</v>
      </c>
    </row>
    <row r="2" spans="1:12" x14ac:dyDescent="0.35">
      <c r="F2" s="145" t="s">
        <v>434</v>
      </c>
    </row>
    <row r="3" spans="1:12" x14ac:dyDescent="0.35">
      <c r="F3" s="144" t="s">
        <v>435</v>
      </c>
    </row>
    <row r="4" spans="1:12" ht="24" thickBot="1" x14ac:dyDescent="0.4">
      <c r="A4" s="144" t="s">
        <v>436</v>
      </c>
      <c r="G4" s="146" t="s">
        <v>540</v>
      </c>
      <c r="H4" s="145"/>
    </row>
    <row r="5" spans="1:12" ht="24" thickBot="1" x14ac:dyDescent="0.4">
      <c r="A5" s="144" t="s">
        <v>587</v>
      </c>
      <c r="D5" s="146" t="s">
        <v>195</v>
      </c>
      <c r="E5" s="146"/>
      <c r="F5" s="146"/>
    </row>
    <row r="6" spans="1:12" ht="12" customHeight="1" x14ac:dyDescent="0.35"/>
    <row r="7" spans="1:12" ht="24" thickBot="1" x14ac:dyDescent="0.4">
      <c r="A7" s="144" t="s">
        <v>438</v>
      </c>
      <c r="D7" s="147" t="s">
        <v>479</v>
      </c>
      <c r="G7" s="145"/>
    </row>
    <row r="8" spans="1:12" ht="6.75" customHeight="1" thickBot="1" x14ac:dyDescent="0.4">
      <c r="A8" s="148"/>
      <c r="B8" s="148"/>
      <c r="C8" s="148"/>
      <c r="D8" s="148"/>
      <c r="E8" s="148"/>
      <c r="F8" s="148"/>
      <c r="G8" s="148"/>
      <c r="H8" s="148"/>
    </row>
    <row r="9" spans="1:12" ht="24" thickBot="1" x14ac:dyDescent="0.4">
      <c r="A9" s="149"/>
      <c r="B9" s="150"/>
      <c r="C9" s="150"/>
      <c r="D9" s="150"/>
      <c r="E9" s="150"/>
      <c r="F9" s="151"/>
      <c r="G9" s="152" t="s">
        <v>439</v>
      </c>
      <c r="H9" s="153" t="s">
        <v>439</v>
      </c>
    </row>
    <row r="10" spans="1:12" x14ac:dyDescent="0.35">
      <c r="A10" s="154"/>
      <c r="F10" s="155"/>
      <c r="G10" s="156"/>
      <c r="H10" s="157"/>
    </row>
    <row r="11" spans="1:12" x14ac:dyDescent="0.35">
      <c r="A11" s="158" t="s">
        <v>440</v>
      </c>
      <c r="B11" s="260" t="s">
        <v>441</v>
      </c>
      <c r="C11" s="258"/>
      <c r="D11" s="258"/>
      <c r="E11" s="258"/>
      <c r="F11" s="259"/>
      <c r="G11" s="156"/>
      <c r="H11" s="157"/>
    </row>
    <row r="12" spans="1:12" x14ac:dyDescent="0.35">
      <c r="A12" s="159"/>
      <c r="B12" s="258"/>
      <c r="C12" s="258"/>
      <c r="D12" s="258"/>
      <c r="E12" s="258"/>
      <c r="F12" s="259"/>
      <c r="G12" s="156"/>
      <c r="H12" s="157">
        <f>2924876.29+37825652.4</f>
        <v>40750528.689999998</v>
      </c>
      <c r="J12" s="144" t="s">
        <v>525</v>
      </c>
      <c r="L12" s="144">
        <v>2057</v>
      </c>
    </row>
    <row r="13" spans="1:12" x14ac:dyDescent="0.35">
      <c r="A13" s="158" t="s">
        <v>442</v>
      </c>
      <c r="B13" s="260" t="s">
        <v>443</v>
      </c>
      <c r="C13" s="258"/>
      <c r="D13" s="258"/>
      <c r="E13" s="258"/>
      <c r="F13" s="259"/>
      <c r="G13" s="156"/>
      <c r="H13" s="157"/>
    </row>
    <row r="14" spans="1:12" x14ac:dyDescent="0.35">
      <c r="A14" s="158"/>
      <c r="B14" s="258"/>
      <c r="C14" s="258"/>
      <c r="D14" s="258"/>
      <c r="E14" s="258"/>
      <c r="F14" s="259"/>
      <c r="G14" s="156"/>
      <c r="H14" s="157"/>
    </row>
    <row r="15" spans="1:12" x14ac:dyDescent="0.35">
      <c r="A15" s="154"/>
      <c r="B15" s="160" t="s">
        <v>406</v>
      </c>
      <c r="C15" s="144" t="s">
        <v>444</v>
      </c>
      <c r="F15" s="155"/>
      <c r="G15" s="156"/>
      <c r="H15" s="157"/>
    </row>
    <row r="16" spans="1:12" x14ac:dyDescent="0.35">
      <c r="A16" s="154"/>
      <c r="B16" s="160" t="s">
        <v>445</v>
      </c>
      <c r="C16" s="144" t="s">
        <v>446</v>
      </c>
      <c r="F16" s="155"/>
      <c r="G16" s="156"/>
      <c r="H16" s="157"/>
    </row>
    <row r="17" spans="1:11" x14ac:dyDescent="0.35">
      <c r="A17" s="154"/>
      <c r="B17" s="160" t="s">
        <v>447</v>
      </c>
      <c r="C17" s="144" t="s">
        <v>448</v>
      </c>
      <c r="F17" s="155"/>
      <c r="G17" s="156"/>
      <c r="H17" s="157"/>
      <c r="K17" s="177">
        <f>H12</f>
        <v>40750528.689999998</v>
      </c>
    </row>
    <row r="18" spans="1:11" x14ac:dyDescent="0.35">
      <c r="A18" s="154"/>
      <c r="B18" s="160" t="s">
        <v>449</v>
      </c>
      <c r="C18" s="258" t="s">
        <v>450</v>
      </c>
      <c r="D18" s="258"/>
      <c r="E18" s="258"/>
      <c r="F18" s="259"/>
      <c r="G18" s="156">
        <v>33040173.59</v>
      </c>
      <c r="H18" s="157"/>
      <c r="J18" s="144" t="s">
        <v>524</v>
      </c>
    </row>
    <row r="19" spans="1:11" x14ac:dyDescent="0.35">
      <c r="A19" s="154"/>
      <c r="B19" s="160" t="s">
        <v>451</v>
      </c>
      <c r="C19" s="144" t="s">
        <v>452</v>
      </c>
      <c r="F19" s="155"/>
      <c r="G19" s="156"/>
      <c r="H19" s="157"/>
    </row>
    <row r="20" spans="1:11" x14ac:dyDescent="0.35">
      <c r="A20" s="154"/>
      <c r="B20" s="160" t="s">
        <v>453</v>
      </c>
      <c r="C20" s="144" t="s">
        <v>454</v>
      </c>
      <c r="F20" s="155"/>
      <c r="G20" s="156"/>
      <c r="H20" s="157"/>
    </row>
    <row r="21" spans="1:11" x14ac:dyDescent="0.35">
      <c r="A21" s="154"/>
      <c r="B21" s="160"/>
      <c r="C21" s="145" t="s">
        <v>455</v>
      </c>
      <c r="D21" s="145"/>
      <c r="E21" s="145"/>
      <c r="F21" s="155"/>
      <c r="G21" s="156"/>
      <c r="H21" s="157"/>
    </row>
    <row r="22" spans="1:11" x14ac:dyDescent="0.35">
      <c r="A22" s="154"/>
      <c r="B22" s="160" t="s">
        <v>456</v>
      </c>
      <c r="C22" s="258" t="s">
        <v>457</v>
      </c>
      <c r="D22" s="258"/>
      <c r="E22" s="258"/>
      <c r="F22" s="259"/>
      <c r="G22" s="156"/>
      <c r="H22" s="157"/>
    </row>
    <row r="23" spans="1:11" x14ac:dyDescent="0.35">
      <c r="A23" s="154"/>
      <c r="B23" s="160"/>
      <c r="C23" s="258"/>
      <c r="D23" s="258"/>
      <c r="E23" s="258"/>
      <c r="F23" s="259"/>
      <c r="G23" s="156"/>
      <c r="H23" s="157"/>
    </row>
    <row r="24" spans="1:11" x14ac:dyDescent="0.35">
      <c r="A24" s="154"/>
      <c r="B24" s="160" t="s">
        <v>458</v>
      </c>
      <c r="C24" s="258" t="s">
        <v>588</v>
      </c>
      <c r="D24" s="258"/>
      <c r="E24" s="258"/>
      <c r="F24" s="259"/>
      <c r="G24" s="156"/>
      <c r="H24" s="157"/>
    </row>
    <row r="25" spans="1:11" x14ac:dyDescent="0.35">
      <c r="A25" s="154"/>
      <c r="B25" s="160"/>
      <c r="C25" s="258"/>
      <c r="D25" s="258"/>
      <c r="E25" s="258"/>
      <c r="F25" s="259"/>
      <c r="G25" s="156"/>
      <c r="H25" s="157"/>
    </row>
    <row r="26" spans="1:11" ht="24" thickBot="1" x14ac:dyDescent="0.4">
      <c r="A26" s="154"/>
      <c r="B26" s="160"/>
      <c r="C26" s="144" t="s">
        <v>589</v>
      </c>
      <c r="F26" s="155"/>
      <c r="G26" s="161"/>
      <c r="H26" s="157"/>
    </row>
    <row r="27" spans="1:11" x14ac:dyDescent="0.35">
      <c r="A27" s="154"/>
      <c r="B27" s="160"/>
      <c r="C27" s="144" t="s">
        <v>461</v>
      </c>
      <c r="F27" s="155"/>
      <c r="G27" s="156"/>
      <c r="H27" s="157"/>
    </row>
    <row r="28" spans="1:11" x14ac:dyDescent="0.35">
      <c r="A28" s="154"/>
      <c r="B28" s="160"/>
      <c r="C28" s="144" t="s">
        <v>462</v>
      </c>
      <c r="F28" s="155"/>
      <c r="G28" s="156"/>
      <c r="H28" s="157"/>
    </row>
    <row r="29" spans="1:11" x14ac:dyDescent="0.35">
      <c r="A29" s="154"/>
      <c r="B29" s="160"/>
      <c r="C29" s="144" t="s">
        <v>463</v>
      </c>
      <c r="F29" s="155"/>
      <c r="G29" s="156"/>
      <c r="H29" s="157"/>
    </row>
    <row r="30" spans="1:11" x14ac:dyDescent="0.35">
      <c r="A30" s="154"/>
      <c r="B30" s="160" t="s">
        <v>464</v>
      </c>
      <c r="C30" s="258" t="s">
        <v>465</v>
      </c>
      <c r="D30" s="258"/>
      <c r="E30" s="258"/>
      <c r="F30" s="259"/>
      <c r="G30" s="156"/>
      <c r="H30" s="157"/>
    </row>
    <row r="31" spans="1:11" x14ac:dyDescent="0.35">
      <c r="A31" s="154"/>
      <c r="B31" s="160"/>
      <c r="C31" s="258"/>
      <c r="D31" s="258"/>
      <c r="E31" s="258"/>
      <c r="F31" s="259"/>
      <c r="G31" s="156"/>
      <c r="H31" s="157"/>
    </row>
    <row r="32" spans="1:11" x14ac:dyDescent="0.35">
      <c r="A32" s="154"/>
      <c r="B32" s="160"/>
      <c r="C32" s="144" t="s">
        <v>466</v>
      </c>
      <c r="F32" s="155"/>
      <c r="G32" s="156"/>
      <c r="H32" s="157"/>
    </row>
    <row r="33" spans="1:10" x14ac:dyDescent="0.35">
      <c r="A33" s="154"/>
      <c r="B33" s="160"/>
      <c r="C33" s="144" t="s">
        <v>467</v>
      </c>
      <c r="F33" s="155"/>
      <c r="G33" s="156"/>
      <c r="H33" s="157"/>
    </row>
    <row r="34" spans="1:10" x14ac:dyDescent="0.35">
      <c r="A34" s="154"/>
      <c r="B34" s="160"/>
      <c r="C34" s="144" t="s">
        <v>468</v>
      </c>
      <c r="F34" s="155"/>
      <c r="G34" s="156"/>
      <c r="H34" s="157"/>
    </row>
    <row r="35" spans="1:10" x14ac:dyDescent="0.35">
      <c r="A35" s="154"/>
      <c r="B35" s="160"/>
      <c r="C35" s="144" t="s">
        <v>469</v>
      </c>
      <c r="F35" s="155"/>
      <c r="G35" s="156"/>
      <c r="H35" s="157"/>
    </row>
    <row r="36" spans="1:10" x14ac:dyDescent="0.35">
      <c r="A36" s="154"/>
      <c r="B36" s="160"/>
      <c r="C36" s="144" t="s">
        <v>470</v>
      </c>
      <c r="F36" s="155"/>
      <c r="G36" s="156"/>
      <c r="H36" s="157"/>
    </row>
    <row r="37" spans="1:10" x14ac:dyDescent="0.35">
      <c r="A37" s="154"/>
      <c r="B37" s="160"/>
      <c r="C37" s="144" t="s">
        <v>471</v>
      </c>
      <c r="F37" s="155"/>
      <c r="G37" s="156"/>
      <c r="H37" s="157"/>
    </row>
    <row r="38" spans="1:10" x14ac:dyDescent="0.35">
      <c r="A38" s="154"/>
      <c r="B38" s="160"/>
      <c r="C38" s="144" t="s">
        <v>472</v>
      </c>
      <c r="F38" s="155"/>
      <c r="G38" s="156"/>
      <c r="H38" s="157"/>
    </row>
    <row r="39" spans="1:10" x14ac:dyDescent="0.35">
      <c r="A39" s="154"/>
      <c r="B39" s="160" t="s">
        <v>473</v>
      </c>
      <c r="C39" s="258" t="s">
        <v>474</v>
      </c>
      <c r="D39" s="258"/>
      <c r="E39" s="258"/>
      <c r="F39" s="259"/>
      <c r="G39" s="156"/>
      <c r="H39" s="157"/>
    </row>
    <row r="40" spans="1:10" x14ac:dyDescent="0.35">
      <c r="A40" s="154"/>
      <c r="B40" s="160"/>
      <c r="C40" s="258"/>
      <c r="D40" s="258"/>
      <c r="E40" s="258"/>
      <c r="F40" s="259"/>
      <c r="G40" s="156">
        <f>2835969.29*1%</f>
        <v>28359.692900000002</v>
      </c>
      <c r="H40" s="157"/>
      <c r="J40" s="144" t="s">
        <v>526</v>
      </c>
    </row>
    <row r="41" spans="1:10" x14ac:dyDescent="0.35">
      <c r="A41" s="154"/>
      <c r="B41" s="160" t="s">
        <v>475</v>
      </c>
      <c r="C41" s="258" t="s">
        <v>476</v>
      </c>
      <c r="D41" s="258"/>
      <c r="E41" s="258"/>
      <c r="F41" s="259"/>
      <c r="G41" s="156"/>
      <c r="H41" s="157"/>
      <c r="J41" s="162"/>
    </row>
    <row r="42" spans="1:10" x14ac:dyDescent="0.35">
      <c r="A42" s="154"/>
      <c r="B42" s="160"/>
      <c r="C42" s="258"/>
      <c r="D42" s="258"/>
      <c r="E42" s="258"/>
      <c r="F42" s="259"/>
      <c r="G42" s="156"/>
      <c r="H42" s="157"/>
    </row>
    <row r="43" spans="1:10" x14ac:dyDescent="0.35">
      <c r="A43" s="154"/>
      <c r="B43" s="160"/>
      <c r="C43" s="258"/>
      <c r="D43" s="258"/>
      <c r="E43" s="258"/>
      <c r="F43" s="259"/>
      <c r="G43" s="156"/>
      <c r="H43" s="157"/>
    </row>
    <row r="44" spans="1:10" ht="24" thickBot="1" x14ac:dyDescent="0.4">
      <c r="A44" s="154"/>
      <c r="B44" s="160"/>
      <c r="F44" s="155"/>
      <c r="G44" s="163"/>
      <c r="H44" s="157">
        <f>G18+G40</f>
        <v>33068533.282899998</v>
      </c>
    </row>
    <row r="45" spans="1:10" ht="24" thickBot="1" x14ac:dyDescent="0.4">
      <c r="A45" s="164"/>
      <c r="B45" s="165"/>
      <c r="C45" s="146" t="s">
        <v>477</v>
      </c>
      <c r="D45" s="148"/>
      <c r="E45" s="148"/>
      <c r="F45" s="166"/>
      <c r="G45" s="167"/>
      <c r="H45" s="168">
        <f>SUM(H10:H43)-H44</f>
        <v>7681995.4070999995</v>
      </c>
    </row>
    <row r="46" spans="1:10" x14ac:dyDescent="0.35">
      <c r="A46" s="258" t="s">
        <v>478</v>
      </c>
      <c r="B46" s="258"/>
      <c r="C46" s="258"/>
      <c r="D46" s="258"/>
      <c r="E46" s="258"/>
      <c r="F46" s="258"/>
      <c r="G46" s="258"/>
      <c r="H46" s="258"/>
    </row>
    <row r="47" spans="1:10" x14ac:dyDescent="0.35">
      <c r="A47" s="258"/>
      <c r="B47" s="258"/>
      <c r="C47" s="258"/>
      <c r="D47" s="258"/>
      <c r="E47" s="258"/>
      <c r="F47" s="258"/>
      <c r="G47" s="258"/>
      <c r="H47" s="258"/>
    </row>
    <row r="48" spans="1:10" x14ac:dyDescent="0.35">
      <c r="A48" s="258"/>
      <c r="B48" s="258"/>
      <c r="C48" s="258"/>
      <c r="D48" s="258"/>
      <c r="E48" s="258"/>
      <c r="F48" s="258"/>
      <c r="G48" s="258"/>
      <c r="H48" s="258"/>
    </row>
    <row r="50" spans="1:12" x14ac:dyDescent="0.35">
      <c r="A50" s="145" t="s">
        <v>480</v>
      </c>
    </row>
    <row r="51" spans="1:12" x14ac:dyDescent="0.35">
      <c r="A51" s="145"/>
    </row>
    <row r="52" spans="1:12" x14ac:dyDescent="0.35">
      <c r="A52" s="145"/>
      <c r="F52" s="169" t="s">
        <v>183</v>
      </c>
      <c r="G52" s="169"/>
      <c r="H52" s="169"/>
      <c r="I52" s="169"/>
      <c r="J52" s="169"/>
      <c r="K52" s="169"/>
      <c r="L52" s="169"/>
    </row>
    <row r="54" spans="1:12" x14ac:dyDescent="0.35">
      <c r="A54" s="170"/>
      <c r="B54" s="170"/>
      <c r="C54" s="170"/>
      <c r="D54" s="170"/>
      <c r="E54" s="170"/>
    </row>
    <row r="55" spans="1:12" x14ac:dyDescent="0.35">
      <c r="A55" s="261" t="s">
        <v>62</v>
      </c>
      <c r="B55" s="261"/>
      <c r="C55" s="261"/>
      <c r="D55" s="261"/>
      <c r="E55" s="261"/>
    </row>
    <row r="56" spans="1:12" x14ac:dyDescent="0.35">
      <c r="A56" s="261" t="s">
        <v>63</v>
      </c>
      <c r="B56" s="261"/>
      <c r="C56" s="261"/>
      <c r="D56" s="261"/>
      <c r="E56" s="261"/>
      <c r="G56" s="171" t="s">
        <v>556</v>
      </c>
    </row>
    <row r="59" spans="1:12" x14ac:dyDescent="0.35">
      <c r="A59" s="172"/>
      <c r="B59" s="172"/>
      <c r="C59" s="172"/>
      <c r="D59" s="172"/>
    </row>
    <row r="60" spans="1:12" x14ac:dyDescent="0.35">
      <c r="A60" s="172"/>
      <c r="B60" s="172"/>
      <c r="C60" s="172"/>
      <c r="D60" s="172"/>
      <c r="G60" s="171" t="s">
        <v>590</v>
      </c>
    </row>
    <row r="61" spans="1:12" x14ac:dyDescent="0.35">
      <c r="A61" s="261" t="s">
        <v>305</v>
      </c>
      <c r="B61" s="261"/>
      <c r="C61" s="261"/>
      <c r="D61" s="261"/>
      <c r="E61" s="261"/>
      <c r="G61" s="171"/>
    </row>
    <row r="62" spans="1:12" x14ac:dyDescent="0.35">
      <c r="A62" s="261" t="s">
        <v>169</v>
      </c>
      <c r="B62" s="261"/>
      <c r="C62" s="261"/>
      <c r="D62" s="261"/>
      <c r="E62" s="261"/>
      <c r="F62" s="160"/>
      <c r="G62" s="160"/>
      <c r="H62" s="160"/>
    </row>
    <row r="63" spans="1:12" x14ac:dyDescent="0.35">
      <c r="F63" s="160"/>
      <c r="G63" s="160"/>
      <c r="H63" s="160"/>
    </row>
    <row r="64" spans="1:12" x14ac:dyDescent="0.35">
      <c r="A64" s="173" t="s">
        <v>481</v>
      </c>
      <c r="B64" s="173"/>
      <c r="C64" s="173"/>
      <c r="D64" s="174"/>
      <c r="E64" s="174" t="s">
        <v>541</v>
      </c>
      <c r="F64" s="171" t="s">
        <v>173</v>
      </c>
      <c r="G64" s="171" t="s">
        <v>591</v>
      </c>
      <c r="H64" s="145"/>
    </row>
    <row r="65" spans="1:8" x14ac:dyDescent="0.35">
      <c r="A65" s="145"/>
      <c r="B65" s="145"/>
      <c r="C65" s="145"/>
      <c r="D65" s="145"/>
      <c r="E65" s="175"/>
      <c r="F65" s="171"/>
      <c r="G65" s="176"/>
      <c r="H65" s="176"/>
    </row>
    <row r="66" spans="1:8" x14ac:dyDescent="0.35">
      <c r="A66" s="262"/>
      <c r="B66" s="262"/>
      <c r="C66" s="262"/>
      <c r="D66" s="262"/>
      <c r="E66" s="262"/>
      <c r="F66" s="262"/>
      <c r="G66" s="262"/>
      <c r="H66" s="262"/>
    </row>
  </sheetData>
  <mergeCells count="15">
    <mergeCell ref="A62:E62"/>
    <mergeCell ref="A66:E66"/>
    <mergeCell ref="F66:H66"/>
    <mergeCell ref="C39:F40"/>
    <mergeCell ref="C41:F43"/>
    <mergeCell ref="A46:H48"/>
    <mergeCell ref="A55:E55"/>
    <mergeCell ref="A56:E56"/>
    <mergeCell ref="A61:E61"/>
    <mergeCell ref="C30:F31"/>
    <mergeCell ref="B11:F12"/>
    <mergeCell ref="B13:F14"/>
    <mergeCell ref="C18:F18"/>
    <mergeCell ref="C22:F23"/>
    <mergeCell ref="C24:F25"/>
  </mergeCells>
  <pageMargins left="0.7" right="0.7" top="0.75" bottom="0.75" header="0.3" footer="0.3"/>
  <pageSetup scale="4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Q71"/>
  <sheetViews>
    <sheetView view="pageBreakPreview" topLeftCell="A10" zoomScaleNormal="100" zoomScaleSheetLayoutView="100" workbookViewId="0">
      <selection activeCell="E39" sqref="E39"/>
    </sheetView>
  </sheetViews>
  <sheetFormatPr defaultColWidth="9.140625" defaultRowHeight="15.75" x14ac:dyDescent="0.25"/>
  <cols>
    <col min="1" max="1" width="9.140625" style="45"/>
    <col min="2" max="2" width="14" style="45" bestFit="1" customWidth="1"/>
    <col min="3" max="3" width="16.5703125" style="45" customWidth="1"/>
    <col min="4" max="4" width="16" style="45" bestFit="1" customWidth="1"/>
    <col min="5" max="5" width="20" style="45" bestFit="1" customWidth="1"/>
    <col min="6" max="6" width="26" style="45" customWidth="1"/>
    <col min="7" max="7" width="16" style="45" hidden="1" customWidth="1"/>
    <col min="8" max="8" width="5" style="45" customWidth="1"/>
    <col min="9" max="9" width="25" style="45" customWidth="1"/>
    <col min="10" max="10" width="20.85546875" style="45" customWidth="1"/>
    <col min="11" max="11" width="14.7109375" style="45" customWidth="1"/>
    <col min="12" max="12" width="3.7109375" style="45" customWidth="1"/>
    <col min="13" max="13" width="11.28515625" style="45" bestFit="1" customWidth="1"/>
    <col min="14" max="14" width="18.7109375" style="45" bestFit="1" customWidth="1"/>
    <col min="15" max="15" width="14" style="50" hidden="1" customWidth="1"/>
    <col min="16" max="16" width="17.140625" style="50" bestFit="1" customWidth="1"/>
    <col min="17" max="17" width="16.140625" style="45" bestFit="1" customWidth="1"/>
    <col min="18" max="16384" width="9.140625" style="45"/>
  </cols>
  <sheetData>
    <row r="1" spans="1:15" x14ac:dyDescent="0.25">
      <c r="A1" s="248" t="s">
        <v>154</v>
      </c>
      <c r="B1" s="248"/>
      <c r="C1" s="248"/>
      <c r="D1" s="248"/>
      <c r="E1" s="248"/>
      <c r="F1" s="248"/>
      <c r="G1" s="248"/>
      <c r="H1" s="248"/>
      <c r="I1" s="248"/>
      <c r="J1" s="248"/>
      <c r="K1" s="248"/>
      <c r="L1" s="248"/>
      <c r="M1" s="248"/>
      <c r="N1" s="248"/>
    </row>
    <row r="2" spans="1:15" x14ac:dyDescent="0.25">
      <c r="A2" s="263" t="s">
        <v>272</v>
      </c>
      <c r="B2" s="263"/>
      <c r="C2" s="263"/>
      <c r="D2" s="263"/>
      <c r="E2" s="263"/>
      <c r="F2" s="263"/>
      <c r="G2" s="263"/>
      <c r="H2" s="263"/>
      <c r="I2" s="263"/>
      <c r="J2" s="263"/>
      <c r="K2" s="263"/>
      <c r="L2" s="263"/>
      <c r="M2" s="263"/>
      <c r="N2" s="263"/>
    </row>
    <row r="3" spans="1:15" x14ac:dyDescent="0.25">
      <c r="A3" s="263" t="s">
        <v>153</v>
      </c>
      <c r="B3" s="263"/>
      <c r="C3" s="263"/>
      <c r="D3" s="263"/>
      <c r="E3" s="263"/>
      <c r="F3" s="263"/>
      <c r="G3" s="263"/>
      <c r="H3" s="263"/>
      <c r="I3" s="263"/>
      <c r="J3" s="263"/>
      <c r="K3" s="263"/>
      <c r="L3" s="263"/>
      <c r="M3" s="263"/>
      <c r="N3" s="263"/>
    </row>
    <row r="4" spans="1:15" x14ac:dyDescent="0.25">
      <c r="A4" s="248" t="s">
        <v>632</v>
      </c>
      <c r="B4" s="248"/>
      <c r="C4" s="248"/>
      <c r="D4" s="248"/>
      <c r="E4" s="248"/>
      <c r="F4" s="248"/>
      <c r="G4" s="248"/>
      <c r="H4" s="248"/>
      <c r="I4" s="248"/>
      <c r="J4" s="248"/>
      <c r="K4" s="248"/>
      <c r="L4" s="248"/>
      <c r="M4" s="248"/>
      <c r="N4" s="248"/>
    </row>
    <row r="6" spans="1:15" ht="6.75" customHeight="1" thickBot="1" x14ac:dyDescent="0.3">
      <c r="A6" s="214"/>
      <c r="B6" s="214"/>
      <c r="C6" s="214"/>
      <c r="D6" s="214"/>
      <c r="E6" s="214"/>
      <c r="F6" s="214"/>
      <c r="G6" s="214"/>
      <c r="H6" s="214"/>
      <c r="I6" s="214"/>
      <c r="J6" s="214"/>
      <c r="K6" s="214"/>
      <c r="L6" s="214"/>
      <c r="M6" s="214"/>
      <c r="N6" s="214"/>
    </row>
    <row r="7" spans="1:15" ht="15" customHeight="1" thickBot="1" x14ac:dyDescent="0.3">
      <c r="A7" s="215" t="s">
        <v>53</v>
      </c>
      <c r="B7" s="216"/>
      <c r="C7" s="216"/>
      <c r="D7" s="217"/>
      <c r="E7" s="218" t="s">
        <v>286</v>
      </c>
      <c r="F7" s="218" t="s">
        <v>286</v>
      </c>
      <c r="G7" s="219" t="s">
        <v>172</v>
      </c>
      <c r="H7" s="220"/>
      <c r="I7" s="221" t="s">
        <v>54</v>
      </c>
      <c r="J7" s="216"/>
      <c r="K7" s="216"/>
      <c r="L7" s="217"/>
      <c r="M7" s="218" t="s">
        <v>286</v>
      </c>
      <c r="N7" s="218" t="s">
        <v>286</v>
      </c>
      <c r="O7" s="55" t="s">
        <v>172</v>
      </c>
    </row>
    <row r="8" spans="1:15" x14ac:dyDescent="0.25">
      <c r="A8" s="222"/>
      <c r="B8" s="223"/>
      <c r="C8" s="223"/>
      <c r="D8" s="224"/>
      <c r="E8" s="225"/>
      <c r="F8" s="225"/>
      <c r="G8" s="225"/>
      <c r="H8" s="226"/>
      <c r="I8" s="221"/>
      <c r="J8" s="223"/>
      <c r="K8" s="223"/>
      <c r="L8" s="223"/>
      <c r="M8" s="46"/>
      <c r="N8" s="46"/>
      <c r="O8" s="46"/>
    </row>
    <row r="9" spans="1:15" x14ac:dyDescent="0.25">
      <c r="A9" s="227" t="s">
        <v>55</v>
      </c>
      <c r="D9" s="228"/>
      <c r="F9" s="41"/>
      <c r="G9" s="41"/>
      <c r="H9" s="226"/>
      <c r="I9" s="56" t="s">
        <v>56</v>
      </c>
      <c r="M9" s="41"/>
      <c r="N9" s="41"/>
      <c r="O9" s="41"/>
    </row>
    <row r="10" spans="1:15" x14ac:dyDescent="0.25">
      <c r="A10" s="226" t="s">
        <v>2</v>
      </c>
      <c r="D10" s="228"/>
      <c r="E10" s="41">
        <v>48466412.460000001</v>
      </c>
      <c r="F10" s="41"/>
      <c r="G10" s="41"/>
      <c r="H10" s="226"/>
      <c r="I10" s="45" t="s">
        <v>150</v>
      </c>
      <c r="M10" s="41"/>
      <c r="N10" s="41">
        <f>'Sch C'!I259</f>
        <v>53076772</v>
      </c>
      <c r="O10" s="41">
        <v>12035704</v>
      </c>
    </row>
    <row r="11" spans="1:15" x14ac:dyDescent="0.25">
      <c r="A11" s="226" t="s">
        <v>6</v>
      </c>
      <c r="D11" s="228"/>
      <c r="E11" s="41"/>
      <c r="F11" s="41"/>
      <c r="G11" s="41"/>
      <c r="H11" s="226"/>
      <c r="M11" s="41"/>
      <c r="N11" s="41"/>
      <c r="O11" s="41"/>
    </row>
    <row r="12" spans="1:15" x14ac:dyDescent="0.25">
      <c r="A12" s="226" t="s">
        <v>357</v>
      </c>
      <c r="D12" s="228"/>
      <c r="E12" s="41"/>
      <c r="F12" s="41"/>
      <c r="G12" s="41"/>
      <c r="H12" s="226"/>
      <c r="M12" s="41"/>
      <c r="N12" s="41"/>
      <c r="O12" s="41"/>
    </row>
    <row r="13" spans="1:15" x14ac:dyDescent="0.25">
      <c r="A13" s="226" t="s">
        <v>318</v>
      </c>
      <c r="D13" s="228"/>
      <c r="E13" s="41"/>
      <c r="F13" s="41"/>
      <c r="G13" s="41"/>
      <c r="H13" s="226"/>
      <c r="M13" s="41"/>
      <c r="N13" s="41"/>
      <c r="O13" s="41"/>
    </row>
    <row r="14" spans="1:15" x14ac:dyDescent="0.25">
      <c r="A14" s="226" t="s">
        <v>642</v>
      </c>
      <c r="D14" s="228"/>
      <c r="E14" s="41">
        <v>12459224.76</v>
      </c>
      <c r="F14" s="41"/>
      <c r="G14" s="41"/>
      <c r="H14" s="226"/>
      <c r="M14" s="41"/>
      <c r="N14" s="41"/>
      <c r="O14" s="41"/>
    </row>
    <row r="15" spans="1:15" x14ac:dyDescent="0.25">
      <c r="A15" s="229" t="s">
        <v>3</v>
      </c>
      <c r="B15" s="57"/>
      <c r="D15" s="228"/>
      <c r="E15" s="230"/>
      <c r="F15" s="41"/>
      <c r="G15" s="41"/>
      <c r="H15" s="226"/>
      <c r="M15" s="41"/>
      <c r="N15" s="41"/>
      <c r="O15" s="41"/>
    </row>
    <row r="16" spans="1:15" x14ac:dyDescent="0.25">
      <c r="A16" s="231"/>
      <c r="B16" s="57" t="s">
        <v>231</v>
      </c>
      <c r="D16" s="58"/>
      <c r="E16" s="41">
        <v>654076.17000000004</v>
      </c>
      <c r="F16" s="41"/>
      <c r="G16" s="41"/>
      <c r="H16" s="226"/>
      <c r="I16" s="56" t="s">
        <v>170</v>
      </c>
      <c r="M16" s="41"/>
      <c r="N16" s="41">
        <f>'Sch D'!K43</f>
        <v>20208391.170000002</v>
      </c>
      <c r="O16" s="41"/>
    </row>
    <row r="17" spans="1:17" x14ac:dyDescent="0.25">
      <c r="A17" s="231"/>
      <c r="B17" s="57" t="s">
        <v>537</v>
      </c>
      <c r="D17" s="58">
        <v>0</v>
      </c>
      <c r="E17" s="41">
        <v>0</v>
      </c>
      <c r="F17" s="41"/>
      <c r="G17" s="41"/>
      <c r="H17" s="226"/>
      <c r="I17" s="45" t="s">
        <v>151</v>
      </c>
      <c r="M17" s="41"/>
      <c r="N17" s="41"/>
      <c r="O17" s="41"/>
    </row>
    <row r="18" spans="1:17" x14ac:dyDescent="0.25">
      <c r="A18" s="226"/>
      <c r="B18" s="57" t="s">
        <v>289</v>
      </c>
      <c r="D18" s="59"/>
      <c r="E18" s="41">
        <v>99000</v>
      </c>
      <c r="F18" s="41">
        <f>E10+E16+E14+E18+E17</f>
        <v>61678713.390000001</v>
      </c>
      <c r="G18" s="41">
        <v>10059131.140000001</v>
      </c>
      <c r="H18" s="226"/>
      <c r="M18" s="41"/>
      <c r="N18" s="41"/>
      <c r="O18" s="41">
        <v>3410586</v>
      </c>
    </row>
    <row r="19" spans="1:17" x14ac:dyDescent="0.25">
      <c r="A19" s="231"/>
      <c r="D19" s="58"/>
      <c r="E19" s="232"/>
      <c r="F19" s="232"/>
      <c r="G19" s="230"/>
      <c r="H19" s="226"/>
      <c r="M19" s="230"/>
      <c r="N19" s="41"/>
      <c r="O19" s="41"/>
    </row>
    <row r="20" spans="1:17" x14ac:dyDescent="0.25">
      <c r="A20" s="226"/>
      <c r="D20" s="58"/>
      <c r="E20" s="41"/>
      <c r="F20" s="41"/>
      <c r="G20" s="41"/>
      <c r="H20" s="226"/>
      <c r="I20" s="56" t="s">
        <v>58</v>
      </c>
      <c r="M20" s="41"/>
      <c r="N20" s="41"/>
      <c r="O20" s="41"/>
    </row>
    <row r="21" spans="1:17" x14ac:dyDescent="0.25">
      <c r="A21" s="227" t="s">
        <v>57</v>
      </c>
      <c r="D21" s="228"/>
      <c r="E21" s="41"/>
      <c r="F21" s="230"/>
      <c r="G21" s="230"/>
      <c r="H21" s="226"/>
      <c r="I21" s="45" t="s">
        <v>152</v>
      </c>
      <c r="M21" s="41"/>
      <c r="N21" s="41">
        <f>'Sch E,F'!J51</f>
        <v>9426445.5700000003</v>
      </c>
      <c r="O21" s="41">
        <v>304220.38</v>
      </c>
    </row>
    <row r="22" spans="1:17" x14ac:dyDescent="0.25">
      <c r="A22" s="226" t="s">
        <v>148</v>
      </c>
      <c r="D22" s="228"/>
      <c r="E22" s="41"/>
      <c r="F22" s="41">
        <f>schhA!H866</f>
        <v>26984827.040000003</v>
      </c>
      <c r="G22" s="41">
        <v>9056317.6500000004</v>
      </c>
      <c r="H22" s="226"/>
      <c r="M22" s="41"/>
      <c r="N22" s="41"/>
      <c r="O22" s="41"/>
    </row>
    <row r="23" spans="1:17" x14ac:dyDescent="0.25">
      <c r="A23" s="226"/>
      <c r="D23" s="228"/>
      <c r="E23" s="230"/>
      <c r="F23" s="230"/>
      <c r="G23" s="230"/>
      <c r="H23" s="226"/>
      <c r="M23" s="41"/>
      <c r="N23" s="41"/>
      <c r="O23" s="41"/>
      <c r="Q23" s="64"/>
    </row>
    <row r="24" spans="1:17" x14ac:dyDescent="0.25">
      <c r="A24" s="226"/>
      <c r="D24" s="228"/>
      <c r="E24" s="230"/>
      <c r="F24" s="230"/>
      <c r="G24" s="230"/>
      <c r="H24" s="226"/>
      <c r="M24" s="41"/>
      <c r="N24" s="41"/>
      <c r="O24" s="41"/>
      <c r="Q24" s="64"/>
    </row>
    <row r="25" spans="1:17" x14ac:dyDescent="0.25">
      <c r="A25" s="227" t="s">
        <v>265</v>
      </c>
      <c r="D25" s="228"/>
      <c r="E25" s="41"/>
      <c r="F25" s="41"/>
      <c r="G25" s="41"/>
      <c r="H25" s="226"/>
      <c r="I25" s="56" t="s">
        <v>59</v>
      </c>
      <c r="M25" s="41"/>
      <c r="N25" s="232">
        <f>'Sch E,F'!J68</f>
        <v>5789570.1600000057</v>
      </c>
      <c r="O25" s="41">
        <v>9309.17</v>
      </c>
    </row>
    <row r="26" spans="1:17" x14ac:dyDescent="0.25">
      <c r="A26" s="226" t="s">
        <v>149</v>
      </c>
      <c r="D26" s="228"/>
      <c r="F26" s="41">
        <f>'Sch B '!J36</f>
        <v>316957.25</v>
      </c>
      <c r="G26" s="41"/>
      <c r="H26" s="226"/>
      <c r="I26" s="45" t="s">
        <v>270</v>
      </c>
      <c r="M26" s="41"/>
      <c r="N26" s="230"/>
      <c r="O26" s="41"/>
    </row>
    <row r="27" spans="1:17" hidden="1" x14ac:dyDescent="0.25">
      <c r="A27" s="48" t="s">
        <v>612</v>
      </c>
      <c r="D27" s="228"/>
      <c r="E27" s="41"/>
      <c r="F27" s="51"/>
      <c r="G27" s="41"/>
      <c r="H27" s="226"/>
      <c r="M27" s="41"/>
      <c r="N27" s="230"/>
      <c r="O27" s="41"/>
    </row>
    <row r="28" spans="1:17" hidden="1" x14ac:dyDescent="0.25">
      <c r="A28" s="226" t="s">
        <v>629</v>
      </c>
      <c r="D28" s="228"/>
      <c r="E28" s="41"/>
      <c r="F28" s="51"/>
      <c r="G28" s="41"/>
      <c r="H28" s="226"/>
      <c r="M28" s="41"/>
      <c r="N28" s="230"/>
      <c r="O28" s="41"/>
    </row>
    <row r="29" spans="1:17" x14ac:dyDescent="0.25">
      <c r="A29" s="226" t="s">
        <v>629</v>
      </c>
      <c r="D29" s="228"/>
      <c r="E29" s="41"/>
      <c r="F29" s="51">
        <v>300000</v>
      </c>
      <c r="G29" s="41"/>
      <c r="H29" s="226"/>
      <c r="M29" s="41"/>
      <c r="N29" s="230"/>
      <c r="O29" s="41"/>
    </row>
    <row r="30" spans="1:17" x14ac:dyDescent="0.25">
      <c r="A30" s="226" t="s">
        <v>551</v>
      </c>
      <c r="D30" s="228"/>
      <c r="E30" s="41"/>
      <c r="F30" s="184">
        <v>37084.43</v>
      </c>
      <c r="G30" s="41"/>
      <c r="H30" s="226"/>
      <c r="M30" s="41"/>
      <c r="N30" s="230"/>
      <c r="O30" s="41"/>
    </row>
    <row r="31" spans="1:17" hidden="1" x14ac:dyDescent="0.25">
      <c r="A31" s="226" t="s">
        <v>550</v>
      </c>
      <c r="D31" s="228"/>
      <c r="E31" s="41"/>
      <c r="F31" s="105"/>
      <c r="G31" s="41"/>
      <c r="H31" s="226"/>
      <c r="M31" s="41"/>
      <c r="N31" s="230"/>
      <c r="O31" s="41"/>
    </row>
    <row r="32" spans="1:17" hidden="1" x14ac:dyDescent="0.25">
      <c r="A32" s="45" t="s">
        <v>628</v>
      </c>
      <c r="D32" s="228"/>
      <c r="E32" s="41"/>
      <c r="F32" s="105"/>
      <c r="G32" s="41"/>
      <c r="H32" s="226"/>
      <c r="M32" s="41"/>
      <c r="N32" s="230"/>
      <c r="O32" s="41"/>
    </row>
    <row r="33" spans="1:17" x14ac:dyDescent="0.25">
      <c r="A33" s="45" t="s">
        <v>580</v>
      </c>
      <c r="D33" s="228"/>
      <c r="E33" s="41"/>
      <c r="F33" s="184">
        <f>1131120.76-914879.77-1500</f>
        <v>214740.99</v>
      </c>
      <c r="G33" s="41"/>
      <c r="H33" s="226"/>
      <c r="M33" s="41"/>
      <c r="N33" s="230"/>
      <c r="O33" s="41"/>
    </row>
    <row r="34" spans="1:17" x14ac:dyDescent="0.25">
      <c r="A34" s="226"/>
      <c r="D34" s="228"/>
      <c r="E34" s="41"/>
      <c r="F34" s="184"/>
      <c r="G34" s="41"/>
      <c r="H34" s="226"/>
      <c r="M34" s="41"/>
      <c r="N34" s="230"/>
      <c r="O34" s="41"/>
    </row>
    <row r="35" spans="1:17" x14ac:dyDescent="0.25">
      <c r="A35" s="226"/>
      <c r="D35" s="228"/>
      <c r="E35" s="41"/>
      <c r="F35" s="41"/>
      <c r="G35" s="41"/>
      <c r="H35" s="226"/>
      <c r="I35" s="56"/>
      <c r="M35" s="41"/>
      <c r="N35" s="230"/>
      <c r="O35" s="41"/>
    </row>
    <row r="36" spans="1:17" x14ac:dyDescent="0.25">
      <c r="A36" s="227" t="s">
        <v>60</v>
      </c>
      <c r="D36" s="228"/>
      <c r="E36" s="232"/>
      <c r="F36" s="41"/>
      <c r="G36" s="41"/>
      <c r="H36" s="226"/>
      <c r="I36" s="56"/>
      <c r="J36" s="56"/>
      <c r="K36" s="56"/>
      <c r="L36" s="56"/>
      <c r="M36" s="131"/>
      <c r="N36" s="131"/>
      <c r="O36" s="41"/>
    </row>
    <row r="37" spans="1:17" x14ac:dyDescent="0.25">
      <c r="A37" s="226" t="s">
        <v>2</v>
      </c>
      <c r="D37" s="228"/>
      <c r="E37" s="41">
        <v>-1256774.58</v>
      </c>
      <c r="G37" s="41"/>
      <c r="H37" s="226"/>
      <c r="I37" s="56"/>
      <c r="J37" s="56"/>
      <c r="K37" s="56"/>
      <c r="L37" s="56"/>
      <c r="M37" s="131"/>
      <c r="N37" s="131"/>
      <c r="O37" s="41"/>
      <c r="Q37" s="64"/>
    </row>
    <row r="38" spans="1:17" x14ac:dyDescent="0.25">
      <c r="A38" s="226" t="s">
        <v>98</v>
      </c>
      <c r="D38" s="228"/>
      <c r="E38" s="106">
        <v>226060.38</v>
      </c>
      <c r="F38" s="232">
        <f>E37+E38</f>
        <v>-1030714.2000000001</v>
      </c>
      <c r="G38" s="41">
        <v>4840</v>
      </c>
      <c r="H38" s="226"/>
      <c r="I38" s="56" t="s">
        <v>240</v>
      </c>
      <c r="M38" s="41"/>
      <c r="N38" s="41">
        <v>430</v>
      </c>
      <c r="O38" s="41">
        <v>2759396.25</v>
      </c>
      <c r="P38" s="113"/>
    </row>
    <row r="39" spans="1:17" x14ac:dyDescent="0.25">
      <c r="A39" s="226"/>
      <c r="D39" s="228"/>
      <c r="E39" s="230"/>
      <c r="F39" s="230"/>
      <c r="G39" s="230"/>
      <c r="H39" s="226"/>
      <c r="M39" s="230"/>
      <c r="N39" s="230"/>
      <c r="O39" s="41"/>
      <c r="Q39" s="64"/>
    </row>
    <row r="40" spans="1:17" ht="16.5" thickBot="1" x14ac:dyDescent="0.3">
      <c r="A40" s="226"/>
      <c r="D40" s="228"/>
      <c r="E40" s="233"/>
      <c r="F40" s="233"/>
      <c r="G40" s="233"/>
      <c r="H40" s="226"/>
      <c r="M40" s="233"/>
      <c r="N40" s="233"/>
      <c r="O40" s="60"/>
    </row>
    <row r="41" spans="1:17" ht="15" customHeight="1" thickBot="1" x14ac:dyDescent="0.3">
      <c r="A41" s="234"/>
      <c r="B41" s="214"/>
      <c r="C41" s="214"/>
      <c r="D41" s="235" t="s">
        <v>273</v>
      </c>
      <c r="E41" s="42"/>
      <c r="F41" s="42">
        <f>SUM(F9:F40)</f>
        <v>88501608.900000006</v>
      </c>
      <c r="G41" s="42">
        <f>SUM(G18:G40)</f>
        <v>19120288.789999999</v>
      </c>
      <c r="H41" s="234"/>
      <c r="I41" s="214"/>
      <c r="J41" s="214"/>
      <c r="K41" s="264" t="s">
        <v>273</v>
      </c>
      <c r="L41" s="265"/>
      <c r="M41" s="42"/>
      <c r="N41" s="42">
        <f>SUM(N10:N40)</f>
        <v>88501608.900000021</v>
      </c>
      <c r="O41" s="42">
        <f>SUM(O10:O40)</f>
        <v>18519215.800000001</v>
      </c>
      <c r="Q41" s="64"/>
    </row>
    <row r="42" spans="1:17" ht="15" customHeight="1" x14ac:dyDescent="0.25">
      <c r="D42" s="56"/>
      <c r="E42" s="117"/>
      <c r="F42" s="117"/>
      <c r="G42" s="117"/>
      <c r="K42" s="213"/>
      <c r="L42" s="213"/>
      <c r="M42" s="117"/>
      <c r="N42" s="117"/>
      <c r="O42" s="117"/>
      <c r="Q42" s="64"/>
    </row>
    <row r="43" spans="1:17" ht="15" customHeight="1" x14ac:dyDescent="0.25">
      <c r="D43" s="56"/>
      <c r="E43" s="117"/>
      <c r="F43" s="117"/>
      <c r="G43" s="117"/>
      <c r="K43" s="213"/>
      <c r="L43" s="213"/>
      <c r="M43" s="117"/>
      <c r="N43" s="117"/>
      <c r="O43" s="117"/>
      <c r="Q43" s="64"/>
    </row>
    <row r="44" spans="1:17" ht="15" customHeight="1" x14ac:dyDescent="0.25">
      <c r="A44" s="1" t="s">
        <v>182</v>
      </c>
      <c r="B44" s="1"/>
      <c r="C44" s="1"/>
      <c r="D44" s="1"/>
      <c r="E44" s="44"/>
      <c r="F44" s="44"/>
      <c r="G44" s="44"/>
      <c r="H44" s="1"/>
      <c r="I44" s="1"/>
      <c r="J44" s="1"/>
      <c r="K44" s="44"/>
      <c r="L44" s="44"/>
      <c r="M44" s="44"/>
      <c r="N44" s="117"/>
      <c r="O44" s="117"/>
      <c r="Q44" s="64"/>
    </row>
    <row r="45" spans="1:17" ht="15" customHeight="1" x14ac:dyDescent="0.25">
      <c r="A45" s="1" t="s">
        <v>61</v>
      </c>
      <c r="B45" s="1"/>
      <c r="C45" s="1"/>
      <c r="D45" s="1"/>
      <c r="E45" s="1"/>
      <c r="F45" s="1"/>
      <c r="G45" s="1"/>
      <c r="H45" s="2"/>
      <c r="I45" s="1"/>
      <c r="J45" s="1"/>
      <c r="K45" s="1"/>
      <c r="L45" s="1"/>
      <c r="M45" s="1"/>
      <c r="N45" s="117"/>
      <c r="O45" s="117"/>
      <c r="Q45" s="64"/>
    </row>
    <row r="46" spans="1:17" ht="15" customHeight="1" x14ac:dyDescent="0.25">
      <c r="A46" s="248" t="s">
        <v>62</v>
      </c>
      <c r="B46" s="248"/>
      <c r="C46" s="248"/>
      <c r="D46" s="248"/>
      <c r="E46" s="1"/>
      <c r="F46" s="1"/>
      <c r="G46" s="1"/>
      <c r="H46" s="1"/>
      <c r="I46" s="1"/>
      <c r="J46" s="1"/>
      <c r="K46" s="1"/>
      <c r="L46" s="1"/>
      <c r="M46" s="1"/>
      <c r="N46" s="117"/>
      <c r="O46" s="117"/>
      <c r="Q46" s="64"/>
    </row>
    <row r="47" spans="1:17" ht="15" customHeight="1" x14ac:dyDescent="0.25">
      <c r="A47" s="248" t="s">
        <v>63</v>
      </c>
      <c r="B47" s="248"/>
      <c r="C47" s="248"/>
      <c r="D47" s="248"/>
      <c r="E47" s="1"/>
      <c r="F47" s="236"/>
      <c r="G47" s="1"/>
      <c r="H47" s="266">
        <f>F41-N41</f>
        <v>0</v>
      </c>
      <c r="I47" s="248"/>
      <c r="J47" s="248"/>
      <c r="K47" s="248"/>
      <c r="L47" s="248"/>
      <c r="M47" s="248"/>
      <c r="N47" s="117"/>
      <c r="O47" s="117"/>
      <c r="Q47" s="64"/>
    </row>
    <row r="48" spans="1:17" x14ac:dyDescent="0.25">
      <c r="A48" s="1"/>
      <c r="B48" s="1"/>
      <c r="C48" s="1"/>
      <c r="D48" s="1"/>
      <c r="E48" s="1"/>
      <c r="F48" s="1"/>
      <c r="G48" s="1"/>
      <c r="H48" s="1"/>
      <c r="I48" s="1"/>
      <c r="J48" s="1"/>
      <c r="K48" s="1"/>
      <c r="M48" s="1"/>
    </row>
    <row r="49" spans="1:15" ht="15.75" hidden="1" customHeight="1" x14ac:dyDescent="0.25">
      <c r="A49" s="1"/>
      <c r="B49" s="1"/>
      <c r="C49" s="1"/>
      <c r="D49" s="1"/>
      <c r="E49" s="2"/>
      <c r="F49" s="1"/>
      <c r="G49" s="1"/>
      <c r="H49" s="1"/>
      <c r="I49" s="1"/>
      <c r="J49" s="1"/>
      <c r="K49" s="1"/>
      <c r="L49" s="1"/>
      <c r="M49" s="1"/>
      <c r="N49" s="44"/>
    </row>
    <row r="50" spans="1:15" ht="15.75" hidden="1" customHeight="1" x14ac:dyDescent="0.25">
      <c r="A50" s="248" t="s">
        <v>305</v>
      </c>
      <c r="B50" s="248"/>
      <c r="C50" s="248"/>
      <c r="D50" s="248"/>
      <c r="E50" s="2"/>
      <c r="F50" s="1"/>
      <c r="G50" s="1"/>
      <c r="H50" s="1"/>
      <c r="I50" s="1"/>
      <c r="J50" s="1"/>
      <c r="K50" s="1"/>
      <c r="L50" s="1"/>
      <c r="M50" s="1"/>
      <c r="N50" s="1"/>
    </row>
    <row r="51" spans="1:15" ht="15.75" hidden="1" customHeight="1" x14ac:dyDescent="0.25">
      <c r="A51" s="248" t="s">
        <v>169</v>
      </c>
      <c r="B51" s="248"/>
      <c r="C51" s="248"/>
      <c r="D51" s="248"/>
      <c r="E51" s="1"/>
      <c r="F51" s="1"/>
      <c r="G51" s="1"/>
      <c r="H51" s="1"/>
      <c r="I51" s="1"/>
      <c r="J51" s="1"/>
      <c r="K51" s="1"/>
      <c r="L51" s="1"/>
      <c r="M51" s="1"/>
      <c r="N51" s="1"/>
    </row>
    <row r="52" spans="1:15" ht="15.75" hidden="1" customHeight="1" x14ac:dyDescent="0.25">
      <c r="A52" s="1"/>
      <c r="B52" s="1"/>
      <c r="C52" s="1"/>
      <c r="D52" s="1"/>
      <c r="E52" s="1"/>
      <c r="F52" s="1"/>
      <c r="G52" s="1"/>
      <c r="H52" s="1"/>
      <c r="I52" s="1"/>
      <c r="J52" s="1"/>
      <c r="K52" s="51"/>
      <c r="L52" s="1"/>
      <c r="M52" s="1"/>
      <c r="N52" s="2"/>
    </row>
    <row r="53" spans="1:15" ht="15.75" hidden="1" customHeight="1" x14ac:dyDescent="0.25">
      <c r="A53" s="2" t="s">
        <v>155</v>
      </c>
      <c r="C53" s="1"/>
      <c r="D53" s="1"/>
      <c r="E53" s="2" t="s">
        <v>155</v>
      </c>
      <c r="G53" s="248" t="s">
        <v>557</v>
      </c>
      <c r="H53" s="248"/>
      <c r="I53" s="2" t="s">
        <v>553</v>
      </c>
      <c r="J53" s="2" t="s">
        <v>573</v>
      </c>
      <c r="K53" s="2"/>
      <c r="L53" s="2"/>
      <c r="N53" s="1"/>
    </row>
    <row r="54" spans="1:15" ht="15.75" hidden="1" customHeight="1" x14ac:dyDescent="0.25">
      <c r="A54" s="2" t="s">
        <v>574</v>
      </c>
      <c r="B54" s="237"/>
      <c r="C54" s="1"/>
      <c r="D54" s="1"/>
      <c r="E54" s="2" t="s">
        <v>574</v>
      </c>
      <c r="F54" s="238"/>
      <c r="G54" s="2" t="s">
        <v>575</v>
      </c>
      <c r="H54" s="212"/>
      <c r="I54" s="2" t="s">
        <v>576</v>
      </c>
      <c r="J54" s="2" t="s">
        <v>577</v>
      </c>
      <c r="K54" s="2"/>
      <c r="L54" s="2"/>
      <c r="M54" s="213" t="s">
        <v>173</v>
      </c>
      <c r="N54" s="1"/>
    </row>
    <row r="55" spans="1:15" ht="15.75" hidden="1" customHeight="1" x14ac:dyDescent="0.25">
      <c r="A55" s="2" t="s">
        <v>578</v>
      </c>
      <c r="B55" s="1"/>
      <c r="C55" s="1"/>
      <c r="D55" s="1"/>
      <c r="E55" s="1"/>
      <c r="F55" s="1"/>
      <c r="G55" s="1"/>
      <c r="H55" s="1"/>
      <c r="I55" s="1"/>
      <c r="J55" s="1"/>
      <c r="K55" s="1"/>
      <c r="L55" s="51"/>
      <c r="M55" s="1"/>
      <c r="N55" s="1"/>
    </row>
    <row r="56" spans="1:15" ht="15.75" hidden="1" customHeight="1" x14ac:dyDescent="0.25">
      <c r="A56" s="1"/>
      <c r="B56" s="1"/>
      <c r="C56" s="1"/>
      <c r="D56" s="1"/>
      <c r="E56" s="1"/>
      <c r="F56" s="1"/>
      <c r="G56" s="1"/>
      <c r="H56" s="1"/>
      <c r="I56" s="1"/>
      <c r="J56" s="1"/>
      <c r="K56" s="1"/>
      <c r="L56" s="51"/>
      <c r="M56" s="1"/>
      <c r="N56" s="1"/>
    </row>
    <row r="57" spans="1:15" ht="15.75" hidden="1" customHeight="1" x14ac:dyDescent="0.25">
      <c r="A57" s="1"/>
      <c r="B57" s="1"/>
      <c r="C57" s="1"/>
      <c r="D57" s="1"/>
      <c r="E57" s="1"/>
      <c r="F57" s="1"/>
      <c r="G57" s="1"/>
      <c r="H57" s="1"/>
      <c r="I57" s="1"/>
      <c r="J57" s="1"/>
      <c r="K57" s="1"/>
      <c r="L57" s="51"/>
      <c r="M57" s="1"/>
      <c r="N57" s="1"/>
    </row>
    <row r="58" spans="1:15" ht="15.75" hidden="1" customHeight="1" x14ac:dyDescent="0.25">
      <c r="A58" s="2" t="s">
        <v>155</v>
      </c>
      <c r="C58" s="1"/>
      <c r="D58" s="1"/>
      <c r="E58" s="2" t="s">
        <v>155</v>
      </c>
      <c r="G58" s="2"/>
      <c r="H58" s="239"/>
      <c r="I58" s="2"/>
      <c r="J58" s="240"/>
      <c r="K58" s="240"/>
      <c r="L58" s="2"/>
      <c r="M58" s="2"/>
    </row>
    <row r="59" spans="1:15" ht="15.75" hidden="1" customHeight="1" x14ac:dyDescent="0.25">
      <c r="A59" s="2" t="s">
        <v>334</v>
      </c>
      <c r="B59" s="237" t="s">
        <v>552</v>
      </c>
      <c r="C59" s="1"/>
      <c r="D59" s="1"/>
      <c r="E59" s="2" t="s">
        <v>335</v>
      </c>
      <c r="F59" s="238"/>
      <c r="G59" s="2"/>
      <c r="H59" s="2"/>
      <c r="I59" s="2"/>
      <c r="J59" s="2"/>
      <c r="K59" s="2"/>
      <c r="L59" s="2"/>
      <c r="M59" s="2"/>
      <c r="N59" s="213"/>
      <c r="O59" s="212" t="s">
        <v>173</v>
      </c>
    </row>
    <row r="60" spans="1:15" ht="15.75" hidden="1" customHeight="1" x14ac:dyDescent="0.25">
      <c r="A60" s="2" t="s">
        <v>522</v>
      </c>
      <c r="B60" s="56"/>
    </row>
    <row r="62" spans="1:15" x14ac:dyDescent="0.25">
      <c r="A62" s="1"/>
      <c r="B62" s="1"/>
      <c r="C62" s="1"/>
      <c r="D62" s="1"/>
      <c r="E62" s="1"/>
      <c r="F62" s="1"/>
      <c r="G62" s="1"/>
      <c r="H62" s="1"/>
      <c r="I62" s="1"/>
      <c r="J62" s="236"/>
      <c r="K62" s="1"/>
      <c r="L62" s="1"/>
      <c r="M62" s="1"/>
    </row>
    <row r="63" spans="1:15" x14ac:dyDescent="0.25">
      <c r="A63" s="1"/>
      <c r="B63" s="1"/>
      <c r="C63" s="1"/>
      <c r="D63" s="1"/>
      <c r="E63" s="2"/>
      <c r="F63" s="1"/>
      <c r="G63" s="1"/>
      <c r="H63" s="1"/>
      <c r="I63" s="1"/>
      <c r="J63" s="1"/>
      <c r="K63" s="1"/>
      <c r="L63" s="1"/>
      <c r="M63" s="1"/>
    </row>
    <row r="64" spans="1:15" x14ac:dyDescent="0.25">
      <c r="A64" s="248" t="s">
        <v>305</v>
      </c>
      <c r="B64" s="248"/>
      <c r="C64" s="248"/>
      <c r="D64" s="248"/>
      <c r="E64" s="2"/>
      <c r="F64" s="1"/>
      <c r="G64" s="1"/>
      <c r="H64" s="1"/>
      <c r="I64" s="1"/>
      <c r="J64" s="1"/>
      <c r="K64" s="1"/>
      <c r="L64" s="1"/>
      <c r="M64" s="1"/>
    </row>
    <row r="65" spans="1:13" x14ac:dyDescent="0.25">
      <c r="A65" s="248" t="s">
        <v>169</v>
      </c>
      <c r="B65" s="248"/>
      <c r="C65" s="248"/>
      <c r="D65" s="248"/>
      <c r="E65" s="1"/>
      <c r="F65" s="1"/>
      <c r="G65" s="1"/>
      <c r="H65" s="1"/>
      <c r="I65" s="1"/>
      <c r="J65" s="1"/>
      <c r="K65" s="1"/>
      <c r="L65" s="1"/>
      <c r="M65" s="1"/>
    </row>
    <row r="66" spans="1:13" x14ac:dyDescent="0.25">
      <c r="A66" s="1"/>
      <c r="B66" s="1"/>
      <c r="C66" s="1"/>
      <c r="D66" s="1"/>
      <c r="E66" s="1"/>
      <c r="F66" s="1"/>
      <c r="G66" s="1"/>
      <c r="H66" s="1"/>
      <c r="I66" s="1"/>
      <c r="J66" s="1"/>
      <c r="K66" s="51"/>
      <c r="L66" s="1"/>
      <c r="M66" s="1"/>
    </row>
    <row r="67" spans="1:13" x14ac:dyDescent="0.25">
      <c r="A67" s="2" t="s">
        <v>155</v>
      </c>
      <c r="C67" s="1"/>
      <c r="D67" s="1"/>
      <c r="E67" s="2" t="s">
        <v>155</v>
      </c>
      <c r="F67" s="212" t="s">
        <v>633</v>
      </c>
      <c r="G67" s="212"/>
      <c r="I67" s="2" t="s">
        <v>634</v>
      </c>
      <c r="J67" s="2" t="s">
        <v>635</v>
      </c>
      <c r="K67" s="2"/>
      <c r="L67" s="2"/>
    </row>
    <row r="68" spans="1:13" x14ac:dyDescent="0.25">
      <c r="A68" s="2" t="s">
        <v>639</v>
      </c>
      <c r="B68" s="237"/>
      <c r="C68" s="1"/>
      <c r="D68" s="1"/>
      <c r="E68" s="2" t="s">
        <v>574</v>
      </c>
      <c r="F68" s="238" t="s">
        <v>579</v>
      </c>
      <c r="G68" s="2" t="s">
        <v>575</v>
      </c>
      <c r="H68" s="212"/>
      <c r="I68" s="2" t="s">
        <v>576</v>
      </c>
      <c r="J68" s="2" t="s">
        <v>577</v>
      </c>
      <c r="K68" s="213" t="s">
        <v>641</v>
      </c>
      <c r="L68" s="2"/>
    </row>
    <row r="69" spans="1:13" x14ac:dyDescent="0.25">
      <c r="A69" s="2" t="s">
        <v>578</v>
      </c>
      <c r="B69" s="1"/>
      <c r="C69" s="1"/>
      <c r="D69" s="1"/>
      <c r="E69" s="1"/>
      <c r="F69" s="1"/>
      <c r="G69" s="1"/>
      <c r="H69" s="1"/>
      <c r="I69" s="1"/>
      <c r="J69" s="1"/>
      <c r="K69" s="1"/>
      <c r="L69" s="51"/>
      <c r="M69" s="1"/>
    </row>
    <row r="70" spans="1:13" x14ac:dyDescent="0.25">
      <c r="A70" s="1"/>
      <c r="B70" s="1"/>
      <c r="C70" s="1"/>
      <c r="D70" s="1"/>
      <c r="E70" s="1"/>
      <c r="F70" s="1"/>
      <c r="G70" s="1"/>
      <c r="H70" s="1"/>
      <c r="I70" s="1"/>
      <c r="J70" s="1"/>
      <c r="K70" s="1"/>
      <c r="L70" s="51"/>
      <c r="M70" s="1"/>
    </row>
    <row r="71" spans="1:13" x14ac:dyDescent="0.25">
      <c r="A71" s="1"/>
      <c r="B71" s="1"/>
      <c r="C71" s="1"/>
      <c r="D71" s="1"/>
      <c r="E71" s="1"/>
      <c r="F71" s="1"/>
      <c r="G71" s="1"/>
      <c r="H71" s="1"/>
      <c r="I71" s="1"/>
      <c r="J71" s="1"/>
      <c r="K71" s="1"/>
      <c r="L71" s="51"/>
      <c r="M71" s="1"/>
    </row>
  </sheetData>
  <mergeCells count="13">
    <mergeCell ref="A64:D64"/>
    <mergeCell ref="A65:D65"/>
    <mergeCell ref="A51:D51"/>
    <mergeCell ref="A1:N1"/>
    <mergeCell ref="A2:N2"/>
    <mergeCell ref="A3:N3"/>
    <mergeCell ref="A4:N4"/>
    <mergeCell ref="K41:L41"/>
    <mergeCell ref="A46:D46"/>
    <mergeCell ref="A47:D47"/>
    <mergeCell ref="H47:M47"/>
    <mergeCell ref="A50:D50"/>
    <mergeCell ref="G53:H53"/>
  </mergeCells>
  <phoneticPr fontId="0" type="noConversion"/>
  <printOptions horizontalCentered="1"/>
  <pageMargins left="0.16" right="0.1" top="0.75" bottom="0" header="0.25" footer="0.24"/>
  <pageSetup paperSize="9" scale="64" orientation="landscape" r:id="rId1"/>
  <headerFooter alignWithMargins="0"/>
  <colBreaks count="1" manualBreakCount="1">
    <brk id="14" max="6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1C082-8715-437E-B24A-980B50562612}">
  <dimension ref="A1:S859"/>
  <sheetViews>
    <sheetView view="pageBreakPreview" topLeftCell="A465" zoomScale="93" zoomScaleNormal="100" zoomScaleSheetLayoutView="93" workbookViewId="0">
      <selection activeCell="G478" sqref="G478"/>
    </sheetView>
  </sheetViews>
  <sheetFormatPr defaultColWidth="15.85546875" defaultRowHeight="18" x14ac:dyDescent="0.25"/>
  <cols>
    <col min="1" max="1" width="4.7109375" style="132" customWidth="1"/>
    <col min="2" max="2" width="17.7109375" style="132" customWidth="1"/>
    <col min="3" max="4" width="15.5703125" style="132" customWidth="1"/>
    <col min="5" max="5" width="22.5703125" style="132" bestFit="1" customWidth="1"/>
    <col min="6" max="7" width="20.42578125" style="118" bestFit="1" customWidth="1"/>
    <col min="8" max="8" width="22" style="118" bestFit="1" customWidth="1"/>
    <col min="9" max="9" width="20.85546875" style="132" bestFit="1" customWidth="1"/>
    <col min="10" max="10" width="19.42578125" style="132" bestFit="1" customWidth="1"/>
    <col min="11" max="11" width="16.140625" style="132" bestFit="1" customWidth="1"/>
    <col min="12" max="16" width="15.85546875" style="132"/>
    <col min="17" max="19" width="18.85546875" style="132" bestFit="1" customWidth="1"/>
    <col min="20" max="16384" width="15.85546875" style="132"/>
  </cols>
  <sheetData>
    <row r="1" spans="1:10" x14ac:dyDescent="0.25">
      <c r="G1" s="123"/>
      <c r="H1" s="123"/>
      <c r="I1" s="133"/>
    </row>
    <row r="2" spans="1:10" x14ac:dyDescent="0.25">
      <c r="A2" s="134" t="s">
        <v>105</v>
      </c>
      <c r="D2" s="134" t="s">
        <v>1</v>
      </c>
      <c r="H2" s="124"/>
      <c r="I2" s="135"/>
    </row>
    <row r="4" spans="1:10" x14ac:dyDescent="0.25">
      <c r="A4" s="135" t="s">
        <v>542</v>
      </c>
      <c r="B4" s="135"/>
      <c r="C4" s="135"/>
      <c r="D4" s="135"/>
      <c r="E4" s="135"/>
      <c r="F4" s="135"/>
      <c r="G4" s="135"/>
      <c r="H4" s="135"/>
    </row>
    <row r="5" spans="1:10" x14ac:dyDescent="0.25">
      <c r="A5" s="135"/>
      <c r="B5" s="135"/>
      <c r="C5" s="135"/>
      <c r="D5" s="135"/>
      <c r="E5" s="135"/>
      <c r="F5" s="135"/>
      <c r="G5" s="135"/>
      <c r="H5" s="135"/>
    </row>
    <row r="6" spans="1:10" x14ac:dyDescent="0.25">
      <c r="F6" s="123" t="s">
        <v>275</v>
      </c>
      <c r="G6" s="123" t="s">
        <v>275</v>
      </c>
      <c r="H6" s="123" t="s">
        <v>275</v>
      </c>
      <c r="I6" s="133"/>
    </row>
    <row r="8" spans="1:10" x14ac:dyDescent="0.25">
      <c r="A8" s="134" t="s">
        <v>106</v>
      </c>
      <c r="I8" s="136">
        <f>F9+F18+F28+F41+F56+F70+F84+F99+F115+F129++F142+F155+F167+F181+F194+F206+F219+F232+F245+F261+F274+F292+F305+F319+F332+F345+F359+F373+F387+F400+F413+F427+F438+F450+F464+F478+F492+F507+F523+F537+F548+F561+F582+F599+F617+F635+F653+F672+F690+F706+F723+F734+F744++F776+F793+F760</f>
        <v>38808010.490000002</v>
      </c>
      <c r="J8" s="132">
        <v>35771015.244870007</v>
      </c>
    </row>
    <row r="9" spans="1:10" x14ac:dyDescent="0.25">
      <c r="A9" s="134"/>
      <c r="B9" s="132" t="s">
        <v>2</v>
      </c>
      <c r="F9" s="118">
        <v>3841416.84</v>
      </c>
      <c r="J9" s="136">
        <f>I8-J8</f>
        <v>3036995.245129995</v>
      </c>
    </row>
    <row r="10" spans="1:10" x14ac:dyDescent="0.25">
      <c r="A10" s="134"/>
      <c r="B10" s="132" t="s">
        <v>109</v>
      </c>
      <c r="C10" s="132" t="s">
        <v>227</v>
      </c>
      <c r="J10" s="132">
        <v>178216.02</v>
      </c>
    </row>
    <row r="11" spans="1:10" x14ac:dyDescent="0.25">
      <c r="A11" s="134"/>
      <c r="C11" s="132" t="s">
        <v>318</v>
      </c>
      <c r="J11" s="136">
        <f>J9-J10</f>
        <v>2858779.225129995</v>
      </c>
    </row>
    <row r="12" spans="1:10" x14ac:dyDescent="0.25">
      <c r="B12" s="132" t="s">
        <v>3</v>
      </c>
      <c r="C12" s="137" t="s">
        <v>6</v>
      </c>
      <c r="F12" s="118">
        <v>0</v>
      </c>
      <c r="J12" s="136">
        <f>J10*2</f>
        <v>356432.04</v>
      </c>
    </row>
    <row r="13" spans="1:10" x14ac:dyDescent="0.25">
      <c r="C13" s="132" t="s">
        <v>104</v>
      </c>
      <c r="J13" s="132">
        <f>BalanceSheet!F48</f>
        <v>0</v>
      </c>
    </row>
    <row r="14" spans="1:10" x14ac:dyDescent="0.25">
      <c r="B14" s="132" t="s">
        <v>4</v>
      </c>
      <c r="C14" s="132" t="s">
        <v>336</v>
      </c>
      <c r="F14" s="125"/>
      <c r="G14" s="118">
        <f>F9+F11+F13+-F14</f>
        <v>3841416.84</v>
      </c>
      <c r="I14" s="132">
        <f>0.84+0.12</f>
        <v>0.96</v>
      </c>
      <c r="J14" s="136">
        <f>J12+J13</f>
        <v>356432.04</v>
      </c>
    </row>
    <row r="15" spans="1:10" x14ac:dyDescent="0.25">
      <c r="E15" s="135"/>
      <c r="H15" s="118">
        <f>G14</f>
        <v>3841416.84</v>
      </c>
      <c r="I15" s="138"/>
    </row>
    <row r="16" spans="1:10" x14ac:dyDescent="0.25">
      <c r="A16" s="134" t="s">
        <v>171</v>
      </c>
      <c r="J16" s="136"/>
    </row>
    <row r="17" spans="1:11" x14ac:dyDescent="0.25">
      <c r="A17" s="134"/>
      <c r="B17" s="132" t="s">
        <v>2</v>
      </c>
      <c r="F17" s="118">
        <v>49261.120000000003</v>
      </c>
    </row>
    <row r="18" spans="1:11" x14ac:dyDescent="0.25">
      <c r="A18" s="134"/>
      <c r="B18" s="132" t="s">
        <v>3</v>
      </c>
      <c r="C18" s="132" t="s">
        <v>104</v>
      </c>
    </row>
    <row r="19" spans="1:11" x14ac:dyDescent="0.25">
      <c r="B19" s="132" t="s">
        <v>3</v>
      </c>
      <c r="C19" s="137" t="s">
        <v>107</v>
      </c>
      <c r="F19" s="125">
        <v>35400</v>
      </c>
    </row>
    <row r="20" spans="1:11" x14ac:dyDescent="0.25">
      <c r="C20" s="137" t="s">
        <v>185</v>
      </c>
      <c r="F20" s="118">
        <f>SUM(F17:F19)</f>
        <v>84661.119999999995</v>
      </c>
    </row>
    <row r="21" spans="1:11" x14ac:dyDescent="0.25">
      <c r="B21" s="132" t="s">
        <v>4</v>
      </c>
      <c r="C21" s="137" t="s">
        <v>236</v>
      </c>
      <c r="F21" s="125">
        <v>58800</v>
      </c>
      <c r="G21" s="118" t="s">
        <v>489</v>
      </c>
    </row>
    <row r="22" spans="1:11" x14ac:dyDescent="0.25">
      <c r="F22" s="118">
        <f>F20-F21</f>
        <v>25861.119999999995</v>
      </c>
      <c r="I22" s="126">
        <v>3652228.6</v>
      </c>
      <c r="J22" s="138"/>
    </row>
    <row r="23" spans="1:11" x14ac:dyDescent="0.25">
      <c r="B23" s="132" t="s">
        <v>4</v>
      </c>
      <c r="C23" s="132" t="s">
        <v>328</v>
      </c>
    </row>
    <row r="24" spans="1:11" x14ac:dyDescent="0.25">
      <c r="F24" s="125"/>
      <c r="G24" s="125">
        <f>F22+F23</f>
        <v>25861.119999999995</v>
      </c>
      <c r="H24" s="118">
        <f>G24</f>
        <v>25861.119999999995</v>
      </c>
      <c r="I24" s="118">
        <v>3669928.6</v>
      </c>
      <c r="K24" s="136"/>
    </row>
    <row r="25" spans="1:11" x14ac:dyDescent="0.25">
      <c r="A25" s="134" t="s">
        <v>108</v>
      </c>
      <c r="J25" s="138"/>
    </row>
    <row r="27" spans="1:11" x14ac:dyDescent="0.25">
      <c r="B27" s="137" t="s">
        <v>18</v>
      </c>
    </row>
    <row r="28" spans="1:11" x14ac:dyDescent="0.25">
      <c r="B28" s="132" t="s">
        <v>2</v>
      </c>
      <c r="F28" s="118">
        <v>414983.28</v>
      </c>
    </row>
    <row r="29" spans="1:11" x14ac:dyDescent="0.25">
      <c r="B29" s="132" t="s">
        <v>3</v>
      </c>
      <c r="C29" s="132" t="s">
        <v>186</v>
      </c>
      <c r="F29" s="125">
        <v>0</v>
      </c>
      <c r="G29" s="118">
        <f>SUM(F28:F29)</f>
        <v>414983.28</v>
      </c>
    </row>
    <row r="30" spans="1:11" x14ac:dyDescent="0.25">
      <c r="B30" s="137" t="s">
        <v>19</v>
      </c>
    </row>
    <row r="31" spans="1:11" x14ac:dyDescent="0.25">
      <c r="B31" s="132" t="s">
        <v>2</v>
      </c>
      <c r="F31" s="118">
        <v>44952.12</v>
      </c>
    </row>
    <row r="32" spans="1:11" x14ac:dyDescent="0.25">
      <c r="B32" s="132" t="s">
        <v>3</v>
      </c>
      <c r="C32" s="137" t="s">
        <v>6</v>
      </c>
      <c r="F32" s="118" t="s">
        <v>181</v>
      </c>
    </row>
    <row r="33" spans="2:8" x14ac:dyDescent="0.25">
      <c r="C33" s="132" t="s">
        <v>8</v>
      </c>
      <c r="F33" s="118">
        <f>20956.65</f>
        <v>20956.650000000001</v>
      </c>
    </row>
    <row r="34" spans="2:8" x14ac:dyDescent="0.25">
      <c r="B34" s="132" t="s">
        <v>4</v>
      </c>
      <c r="C34" s="137" t="s">
        <v>293</v>
      </c>
      <c r="F34" s="125"/>
    </row>
    <row r="35" spans="2:8" x14ac:dyDescent="0.25">
      <c r="F35" s="118">
        <f>F31+F33-F34</f>
        <v>65908.77</v>
      </c>
    </row>
    <row r="36" spans="2:8" x14ac:dyDescent="0.25">
      <c r="B36" s="132" t="s">
        <v>4</v>
      </c>
      <c r="C36" s="132" t="s">
        <v>184</v>
      </c>
    </row>
    <row r="37" spans="2:8" x14ac:dyDescent="0.25">
      <c r="C37" s="132" t="s">
        <v>165</v>
      </c>
      <c r="F37" s="125">
        <v>10000</v>
      </c>
      <c r="G37" s="125">
        <f>F35-F37</f>
        <v>55908.770000000004</v>
      </c>
      <c r="H37" s="118">
        <f>SUM(G29:G37)</f>
        <v>470892.05000000005</v>
      </c>
    </row>
    <row r="40" spans="2:8" x14ac:dyDescent="0.25">
      <c r="B40" s="137" t="s">
        <v>15</v>
      </c>
    </row>
    <row r="41" spans="2:8" x14ac:dyDescent="0.25">
      <c r="B41" s="132" t="s">
        <v>2</v>
      </c>
      <c r="F41" s="118">
        <v>157390.38</v>
      </c>
    </row>
    <row r="42" spans="2:8" x14ac:dyDescent="0.25">
      <c r="B42" s="132" t="s">
        <v>109</v>
      </c>
      <c r="C42" s="132" t="s">
        <v>186</v>
      </c>
      <c r="F42" s="125">
        <v>0</v>
      </c>
      <c r="G42" s="118">
        <f>F41+F42</f>
        <v>157390.38</v>
      </c>
    </row>
    <row r="44" spans="2:8" x14ac:dyDescent="0.25">
      <c r="B44" s="137" t="s">
        <v>16</v>
      </c>
    </row>
    <row r="45" spans="2:8" x14ac:dyDescent="0.25">
      <c r="B45" s="132" t="s">
        <v>2</v>
      </c>
      <c r="F45" s="118">
        <v>15838.53</v>
      </c>
    </row>
    <row r="46" spans="2:8" x14ac:dyDescent="0.25">
      <c r="B46" s="132" t="s">
        <v>3</v>
      </c>
      <c r="C46" s="137" t="s">
        <v>6</v>
      </c>
    </row>
    <row r="47" spans="2:8" x14ac:dyDescent="0.25">
      <c r="C47" s="132" t="s">
        <v>7</v>
      </c>
      <c r="F47" s="125">
        <f>F41*5.05%</f>
        <v>7948.2141899999997</v>
      </c>
    </row>
    <row r="48" spans="2:8" x14ac:dyDescent="0.25">
      <c r="F48" s="118">
        <f>SUM(F45:F47)</f>
        <v>23786.744190000001</v>
      </c>
    </row>
    <row r="49" spans="2:8" x14ac:dyDescent="0.25">
      <c r="B49" s="132" t="s">
        <v>4</v>
      </c>
      <c r="C49" s="137" t="s">
        <v>293</v>
      </c>
      <c r="F49" s="125">
        <f>3192+10000+2500</f>
        <v>15692</v>
      </c>
    </row>
    <row r="50" spans="2:8" x14ac:dyDescent="0.25">
      <c r="F50" s="118">
        <f>F48-F49</f>
        <v>8094.7441900000013</v>
      </c>
    </row>
    <row r="51" spans="2:8" x14ac:dyDescent="0.25">
      <c r="B51" s="132" t="s">
        <v>4</v>
      </c>
      <c r="C51" s="132" t="s">
        <v>184</v>
      </c>
    </row>
    <row r="52" spans="2:8" x14ac:dyDescent="0.25">
      <c r="C52" s="132" t="s">
        <v>165</v>
      </c>
      <c r="F52" s="125">
        <v>0</v>
      </c>
      <c r="G52" s="125">
        <f>F50-F52</f>
        <v>8094.7441900000013</v>
      </c>
      <c r="H52" s="118">
        <f>SUM(G41:G52)</f>
        <v>165485.12419</v>
      </c>
    </row>
    <row r="55" spans="2:8" x14ac:dyDescent="0.25">
      <c r="B55" s="137" t="s">
        <v>110</v>
      </c>
    </row>
    <row r="56" spans="2:8" x14ac:dyDescent="0.25">
      <c r="B56" s="132" t="s">
        <v>2</v>
      </c>
      <c r="F56" s="118">
        <v>278166.53999999998</v>
      </c>
    </row>
    <row r="57" spans="2:8" x14ac:dyDescent="0.25">
      <c r="B57" s="132" t="s">
        <v>3</v>
      </c>
      <c r="C57" s="132" t="s">
        <v>186</v>
      </c>
      <c r="F57" s="125">
        <v>0</v>
      </c>
      <c r="G57" s="118">
        <f>SUM(F56:F57)</f>
        <v>278166.53999999998</v>
      </c>
    </row>
    <row r="58" spans="2:8" x14ac:dyDescent="0.25">
      <c r="B58" s="137" t="s">
        <v>111</v>
      </c>
    </row>
    <row r="59" spans="2:8" x14ac:dyDescent="0.25">
      <c r="B59" s="132" t="s">
        <v>2</v>
      </c>
      <c r="F59" s="118">
        <v>31438.85</v>
      </c>
    </row>
    <row r="60" spans="2:8" x14ac:dyDescent="0.25">
      <c r="B60" s="132" t="s">
        <v>3</v>
      </c>
      <c r="C60" s="137" t="s">
        <v>6</v>
      </c>
    </row>
    <row r="61" spans="2:8" x14ac:dyDescent="0.25">
      <c r="C61" s="132" t="s">
        <v>8</v>
      </c>
      <c r="F61" s="125">
        <f>F56*5.05%</f>
        <v>14047.410269999998</v>
      </c>
    </row>
    <row r="62" spans="2:8" x14ac:dyDescent="0.25">
      <c r="F62" s="118">
        <f>SUM(F59:F61)</f>
        <v>45486.260269999999</v>
      </c>
    </row>
    <row r="63" spans="2:8" x14ac:dyDescent="0.25">
      <c r="B63" s="132" t="s">
        <v>4</v>
      </c>
      <c r="C63" s="137" t="s">
        <v>292</v>
      </c>
      <c r="F63" s="125"/>
    </row>
    <row r="64" spans="2:8" x14ac:dyDescent="0.25">
      <c r="C64" s="137"/>
      <c r="F64" s="118">
        <f>F62-F63</f>
        <v>45486.260269999999</v>
      </c>
    </row>
    <row r="65" spans="2:8" x14ac:dyDescent="0.25">
      <c r="B65" s="132" t="s">
        <v>4</v>
      </c>
      <c r="C65" s="132" t="s">
        <v>187</v>
      </c>
    </row>
    <row r="66" spans="2:8" x14ac:dyDescent="0.25">
      <c r="C66" s="132" t="s">
        <v>165</v>
      </c>
      <c r="F66" s="125">
        <v>10000</v>
      </c>
      <c r="G66" s="125">
        <f>F64-F66</f>
        <v>35486.260269999999</v>
      </c>
      <c r="H66" s="118">
        <f>SUM(G57:G66)</f>
        <v>313652.80027000001</v>
      </c>
    </row>
    <row r="69" spans="2:8" x14ac:dyDescent="0.25">
      <c r="B69" s="137" t="s">
        <v>252</v>
      </c>
    </row>
    <row r="70" spans="2:8" x14ac:dyDescent="0.25">
      <c r="B70" s="132" t="s">
        <v>2</v>
      </c>
      <c r="F70" s="118">
        <v>353481.16</v>
      </c>
    </row>
    <row r="71" spans="2:8" x14ac:dyDescent="0.25">
      <c r="B71" s="132" t="s">
        <v>3</v>
      </c>
      <c r="C71" s="132" t="s">
        <v>115</v>
      </c>
      <c r="F71" s="125">
        <v>0</v>
      </c>
      <c r="G71" s="118">
        <f>SUM(F70:F71)</f>
        <v>353481.16</v>
      </c>
    </row>
    <row r="72" spans="2:8" x14ac:dyDescent="0.25">
      <c r="B72" s="137" t="s">
        <v>253</v>
      </c>
    </row>
    <row r="73" spans="2:8" x14ac:dyDescent="0.25">
      <c r="B73" s="132" t="s">
        <v>2</v>
      </c>
      <c r="F73" s="118">
        <v>37711.040000000001</v>
      </c>
    </row>
    <row r="74" spans="2:8" x14ac:dyDescent="0.25">
      <c r="B74" s="132" t="s">
        <v>3</v>
      </c>
      <c r="C74" s="137" t="s">
        <v>6</v>
      </c>
    </row>
    <row r="75" spans="2:8" x14ac:dyDescent="0.25">
      <c r="C75" s="132" t="s">
        <v>8</v>
      </c>
      <c r="F75" s="125">
        <v>17850.79</v>
      </c>
    </row>
    <row r="76" spans="2:8" x14ac:dyDescent="0.25">
      <c r="F76" s="118">
        <f>SUM(F73:F75)</f>
        <v>55561.83</v>
      </c>
    </row>
    <row r="77" spans="2:8" x14ac:dyDescent="0.25">
      <c r="B77" s="132" t="s">
        <v>4</v>
      </c>
      <c r="C77" s="137" t="s">
        <v>292</v>
      </c>
      <c r="F77" s="125">
        <v>0</v>
      </c>
    </row>
    <row r="78" spans="2:8" x14ac:dyDescent="0.25">
      <c r="F78" s="118">
        <f>F76-F77</f>
        <v>55561.83</v>
      </c>
    </row>
    <row r="79" spans="2:8" x14ac:dyDescent="0.25">
      <c r="B79" s="132" t="s">
        <v>4</v>
      </c>
      <c r="C79" s="132" t="s">
        <v>184</v>
      </c>
    </row>
    <row r="80" spans="2:8" x14ac:dyDescent="0.25">
      <c r="C80" s="132" t="s">
        <v>165</v>
      </c>
      <c r="F80" s="125">
        <v>2500</v>
      </c>
      <c r="G80" s="125">
        <f>F78-F80</f>
        <v>53061.83</v>
      </c>
      <c r="H80" s="118">
        <f>SUM(G71:G80)</f>
        <v>406542.99</v>
      </c>
    </row>
    <row r="83" spans="2:8" x14ac:dyDescent="0.25">
      <c r="B83" s="137" t="s">
        <v>112</v>
      </c>
    </row>
    <row r="84" spans="2:8" x14ac:dyDescent="0.25">
      <c r="B84" s="132" t="s">
        <v>2</v>
      </c>
      <c r="F84" s="118">
        <v>225090.7</v>
      </c>
    </row>
    <row r="85" spans="2:8" x14ac:dyDescent="0.25">
      <c r="B85" s="132" t="s">
        <v>3</v>
      </c>
      <c r="C85" s="132" t="s">
        <v>6</v>
      </c>
      <c r="F85" s="118">
        <v>0</v>
      </c>
    </row>
    <row r="86" spans="2:8" x14ac:dyDescent="0.25">
      <c r="B86" s="132" t="s">
        <v>3</v>
      </c>
      <c r="C86" s="132" t="s">
        <v>186</v>
      </c>
      <c r="F86" s="125">
        <v>0</v>
      </c>
      <c r="G86" s="118">
        <f>SUM(F84:F86)</f>
        <v>225090.7</v>
      </c>
    </row>
    <row r="87" spans="2:8" x14ac:dyDescent="0.25">
      <c r="B87" s="137" t="s">
        <v>174</v>
      </c>
    </row>
    <row r="88" spans="2:8" x14ac:dyDescent="0.25">
      <c r="B88" s="132" t="s">
        <v>2</v>
      </c>
      <c r="F88" s="118">
        <v>22458.16</v>
      </c>
    </row>
    <row r="89" spans="2:8" x14ac:dyDescent="0.25">
      <c r="B89" s="132" t="s">
        <v>3</v>
      </c>
      <c r="C89" s="137" t="s">
        <v>6</v>
      </c>
    </row>
    <row r="90" spans="2:8" x14ac:dyDescent="0.25">
      <c r="C90" s="132" t="s">
        <v>7</v>
      </c>
      <c r="F90" s="125">
        <f>F84*5.05%</f>
        <v>11367.08035</v>
      </c>
    </row>
    <row r="91" spans="2:8" x14ac:dyDescent="0.25">
      <c r="F91" s="118">
        <f>F90+F88</f>
        <v>33825.24035</v>
      </c>
    </row>
    <row r="92" spans="2:8" x14ac:dyDescent="0.25">
      <c r="B92" s="132" t="s">
        <v>4</v>
      </c>
      <c r="C92" s="137" t="s">
        <v>248</v>
      </c>
    </row>
    <row r="93" spans="2:8" x14ac:dyDescent="0.25">
      <c r="F93" s="127">
        <f>F91-F92</f>
        <v>33825.24035</v>
      </c>
    </row>
    <row r="94" spans="2:8" x14ac:dyDescent="0.25">
      <c r="B94" s="132" t="s">
        <v>4</v>
      </c>
      <c r="C94" s="132" t="s">
        <v>187</v>
      </c>
    </row>
    <row r="95" spans="2:8" x14ac:dyDescent="0.25">
      <c r="C95" s="132" t="s">
        <v>165</v>
      </c>
      <c r="F95" s="125">
        <v>2500</v>
      </c>
      <c r="G95" s="125">
        <f>F93-F95</f>
        <v>31325.24035</v>
      </c>
      <c r="H95" s="118">
        <f>SUM(G86:G95)</f>
        <v>256415.94035000002</v>
      </c>
    </row>
    <row r="98" spans="1:9" x14ac:dyDescent="0.25">
      <c r="B98" s="137" t="s">
        <v>20</v>
      </c>
    </row>
    <row r="99" spans="1:9" x14ac:dyDescent="0.25">
      <c r="B99" s="132" t="s">
        <v>2</v>
      </c>
      <c r="F99" s="118">
        <v>259075.85</v>
      </c>
    </row>
    <row r="100" spans="1:9" x14ac:dyDescent="0.25">
      <c r="B100" s="132" t="s">
        <v>3</v>
      </c>
      <c r="C100" s="132" t="s">
        <v>186</v>
      </c>
      <c r="F100" s="125">
        <v>0</v>
      </c>
      <c r="G100" s="118">
        <f>SUM(F99:F100)</f>
        <v>259075.85</v>
      </c>
    </row>
    <row r="101" spans="1:9" x14ac:dyDescent="0.25">
      <c r="B101" s="137" t="s">
        <v>21</v>
      </c>
      <c r="I101" s="138"/>
    </row>
    <row r="102" spans="1:9" x14ac:dyDescent="0.25">
      <c r="B102" s="132" t="s">
        <v>2</v>
      </c>
      <c r="F102" s="118">
        <v>29281.200000000001</v>
      </c>
    </row>
    <row r="103" spans="1:9" x14ac:dyDescent="0.25">
      <c r="B103" s="132" t="s">
        <v>3</v>
      </c>
      <c r="C103" s="137" t="s">
        <v>6</v>
      </c>
    </row>
    <row r="104" spans="1:9" x14ac:dyDescent="0.25">
      <c r="C104" s="132" t="s">
        <v>7</v>
      </c>
      <c r="F104" s="125">
        <f>F99*5.05%</f>
        <v>13083.330425</v>
      </c>
    </row>
    <row r="105" spans="1:9" x14ac:dyDescent="0.25">
      <c r="F105" s="118">
        <f>SUM(F102:F104)</f>
        <v>42364.530425000004</v>
      </c>
    </row>
    <row r="106" spans="1:9" x14ac:dyDescent="0.25">
      <c r="B106" s="132" t="s">
        <v>4</v>
      </c>
      <c r="C106" s="137" t="s">
        <v>248</v>
      </c>
      <c r="F106" s="125">
        <v>10000</v>
      </c>
    </row>
    <row r="107" spans="1:9" x14ac:dyDescent="0.25">
      <c r="C107" s="137"/>
      <c r="F107" s="118">
        <f>F105-F106</f>
        <v>32364.530425000004</v>
      </c>
    </row>
    <row r="108" spans="1:9" x14ac:dyDescent="0.25">
      <c r="B108" s="132" t="s">
        <v>4</v>
      </c>
      <c r="C108" s="132" t="s">
        <v>184</v>
      </c>
    </row>
    <row r="109" spans="1:9" x14ac:dyDescent="0.25">
      <c r="C109" s="132" t="s">
        <v>166</v>
      </c>
      <c r="F109" s="125">
        <v>0</v>
      </c>
      <c r="G109" s="125">
        <f>F107-F109</f>
        <v>32364.530425000004</v>
      </c>
      <c r="H109" s="118">
        <f>SUM(G100:G109)</f>
        <v>291440.38042499998</v>
      </c>
    </row>
    <row r="112" spans="1:9" x14ac:dyDescent="0.25">
      <c r="A112" s="134" t="s">
        <v>114</v>
      </c>
    </row>
    <row r="114" spans="2:8" x14ac:dyDescent="0.25">
      <c r="B114" s="137" t="s">
        <v>13</v>
      </c>
    </row>
    <row r="115" spans="2:8" x14ac:dyDescent="0.25">
      <c r="B115" s="132" t="s">
        <v>2</v>
      </c>
      <c r="F115" s="118">
        <v>166653.07999999999</v>
      </c>
    </row>
    <row r="116" spans="2:8" x14ac:dyDescent="0.25">
      <c r="B116" s="132" t="s">
        <v>3</v>
      </c>
      <c r="C116" s="137" t="s">
        <v>6</v>
      </c>
    </row>
    <row r="117" spans="2:8" x14ac:dyDescent="0.25">
      <c r="C117" s="132" t="s">
        <v>186</v>
      </c>
      <c r="F117" s="125">
        <v>0</v>
      </c>
      <c r="G117" s="118">
        <f>F115+F117</f>
        <v>166653.07999999999</v>
      </c>
    </row>
    <row r="118" spans="2:8" x14ac:dyDescent="0.25">
      <c r="B118" s="137" t="s">
        <v>14</v>
      </c>
    </row>
    <row r="119" spans="2:8" x14ac:dyDescent="0.25">
      <c r="B119" s="132" t="s">
        <v>2</v>
      </c>
      <c r="F119" s="118">
        <v>8853.44</v>
      </c>
    </row>
    <row r="120" spans="2:8" x14ac:dyDescent="0.25">
      <c r="B120" s="132" t="s">
        <v>3</v>
      </c>
      <c r="C120" s="137" t="s">
        <v>6</v>
      </c>
    </row>
    <row r="121" spans="2:8" x14ac:dyDescent="0.25">
      <c r="C121" s="132" t="s">
        <v>8</v>
      </c>
      <c r="F121" s="125">
        <f>F115*5.05%</f>
        <v>8415.9805399999987</v>
      </c>
    </row>
    <row r="122" spans="2:8" x14ac:dyDescent="0.25">
      <c r="F122" s="118">
        <f>SUM(F119:F121)</f>
        <v>17269.420539999999</v>
      </c>
    </row>
    <row r="123" spans="2:8" x14ac:dyDescent="0.25">
      <c r="B123" s="132" t="s">
        <v>4</v>
      </c>
      <c r="C123" s="137" t="s">
        <v>113</v>
      </c>
      <c r="F123" s="125">
        <v>13000</v>
      </c>
    </row>
    <row r="124" spans="2:8" x14ac:dyDescent="0.25">
      <c r="F124" s="118">
        <f>F122-F123</f>
        <v>4269.4205399999992</v>
      </c>
    </row>
    <row r="125" spans="2:8" x14ac:dyDescent="0.25">
      <c r="B125" s="132" t="s">
        <v>4</v>
      </c>
      <c r="C125" s="132" t="s">
        <v>255</v>
      </c>
    </row>
    <row r="126" spans="2:8" x14ac:dyDescent="0.25">
      <c r="C126" s="132" t="s">
        <v>256</v>
      </c>
      <c r="F126" s="125">
        <v>0</v>
      </c>
      <c r="G126" s="125">
        <f>F124-F126</f>
        <v>4269.4205399999992</v>
      </c>
      <c r="H126" s="118">
        <f>SUM(G115:G126)</f>
        <v>170922.50053999998</v>
      </c>
    </row>
    <row r="128" spans="2:8" x14ac:dyDescent="0.25">
      <c r="B128" s="137" t="s">
        <v>175</v>
      </c>
    </row>
    <row r="129" spans="2:10" x14ac:dyDescent="0.25">
      <c r="B129" s="132" t="s">
        <v>2</v>
      </c>
      <c r="F129" s="118">
        <v>237774.22</v>
      </c>
    </row>
    <row r="130" spans="2:10" x14ac:dyDescent="0.25">
      <c r="B130" s="132" t="s">
        <v>3</v>
      </c>
      <c r="C130" s="132" t="s">
        <v>115</v>
      </c>
      <c r="F130" s="125">
        <v>0</v>
      </c>
      <c r="G130" s="118">
        <f>SUM(F129:F130)</f>
        <v>237774.22</v>
      </c>
    </row>
    <row r="131" spans="2:10" x14ac:dyDescent="0.25">
      <c r="B131" s="137" t="s">
        <v>176</v>
      </c>
    </row>
    <row r="132" spans="2:10" x14ac:dyDescent="0.25">
      <c r="B132" s="132" t="s">
        <v>2</v>
      </c>
      <c r="F132" s="118">
        <v>18943.689999999999</v>
      </c>
    </row>
    <row r="133" spans="2:10" x14ac:dyDescent="0.25">
      <c r="B133" s="132" t="s">
        <v>3</v>
      </c>
      <c r="C133" s="137" t="s">
        <v>6</v>
      </c>
    </row>
    <row r="134" spans="2:10" x14ac:dyDescent="0.25">
      <c r="C134" s="132" t="s">
        <v>8</v>
      </c>
      <c r="F134" s="125">
        <f>12007.59</f>
        <v>12007.59</v>
      </c>
    </row>
    <row r="135" spans="2:10" x14ac:dyDescent="0.25">
      <c r="F135" s="118">
        <f>F132+F134</f>
        <v>30951.279999999999</v>
      </c>
    </row>
    <row r="136" spans="2:10" x14ac:dyDescent="0.25">
      <c r="B136" s="132" t="s">
        <v>244</v>
      </c>
      <c r="C136" s="137" t="s">
        <v>229</v>
      </c>
      <c r="F136" s="125"/>
    </row>
    <row r="137" spans="2:10" x14ac:dyDescent="0.25">
      <c r="F137" s="118">
        <f>F135-F136</f>
        <v>30951.279999999999</v>
      </c>
    </row>
    <row r="138" spans="2:10" x14ac:dyDescent="0.25">
      <c r="B138" s="132" t="s">
        <v>4</v>
      </c>
      <c r="C138" s="132" t="s">
        <v>184</v>
      </c>
    </row>
    <row r="139" spans="2:10" x14ac:dyDescent="0.25">
      <c r="C139" s="132" t="s">
        <v>164</v>
      </c>
      <c r="F139" s="125">
        <v>0</v>
      </c>
      <c r="G139" s="125">
        <f>F137</f>
        <v>30951.279999999999</v>
      </c>
      <c r="H139" s="118">
        <f>SUM(G130:G139)</f>
        <v>268725.5</v>
      </c>
      <c r="J139" s="136"/>
    </row>
    <row r="141" spans="2:10" x14ac:dyDescent="0.25">
      <c r="B141" s="137" t="s">
        <v>162</v>
      </c>
    </row>
    <row r="142" spans="2:10" x14ac:dyDescent="0.25">
      <c r="B142" s="132" t="s">
        <v>2</v>
      </c>
      <c r="F142" s="118">
        <v>80052.509999999995</v>
      </c>
    </row>
    <row r="143" spans="2:10" x14ac:dyDescent="0.25">
      <c r="B143" s="132" t="s">
        <v>3</v>
      </c>
      <c r="C143" s="132" t="s">
        <v>115</v>
      </c>
      <c r="F143" s="125">
        <v>0</v>
      </c>
      <c r="G143" s="118">
        <f>F142+F143</f>
        <v>80052.509999999995</v>
      </c>
    </row>
    <row r="144" spans="2:10" x14ac:dyDescent="0.25">
      <c r="B144" s="137" t="s">
        <v>163</v>
      </c>
    </row>
    <row r="145" spans="2:9" x14ac:dyDescent="0.25">
      <c r="B145" s="132" t="s">
        <v>2</v>
      </c>
      <c r="F145" s="118">
        <v>9047.67</v>
      </c>
    </row>
    <row r="146" spans="2:9" x14ac:dyDescent="0.25">
      <c r="B146" s="132" t="s">
        <v>3</v>
      </c>
      <c r="C146" s="137" t="s">
        <v>6</v>
      </c>
    </row>
    <row r="147" spans="2:9" x14ac:dyDescent="0.25">
      <c r="C147" s="132" t="s">
        <v>8</v>
      </c>
      <c r="F147" s="125">
        <f>F142*5.05%</f>
        <v>4042.6517549999994</v>
      </c>
      <c r="H147" s="118" t="s">
        <v>181</v>
      </c>
    </row>
    <row r="148" spans="2:9" x14ac:dyDescent="0.25">
      <c r="F148" s="118">
        <f>F145+F147</f>
        <v>13090.321754999999</v>
      </c>
    </row>
    <row r="149" spans="2:9" x14ac:dyDescent="0.25">
      <c r="B149" s="132" t="s">
        <v>4</v>
      </c>
      <c r="C149" s="137" t="s">
        <v>113</v>
      </c>
      <c r="F149" s="125"/>
    </row>
    <row r="150" spans="2:9" x14ac:dyDescent="0.25">
      <c r="F150" s="118">
        <f>F148-F149</f>
        <v>13090.321754999999</v>
      </c>
    </row>
    <row r="151" spans="2:9" x14ac:dyDescent="0.25">
      <c r="B151" s="132" t="s">
        <v>4</v>
      </c>
      <c r="C151" s="132" t="s">
        <v>184</v>
      </c>
    </row>
    <row r="152" spans="2:9" x14ac:dyDescent="0.25">
      <c r="C152" s="132" t="s">
        <v>164</v>
      </c>
      <c r="F152" s="125">
        <v>0</v>
      </c>
      <c r="G152" s="125">
        <f>F150-F152</f>
        <v>13090.321754999999</v>
      </c>
      <c r="H152" s="118">
        <f>SUM(G142:G152)</f>
        <v>93142.831754999992</v>
      </c>
    </row>
    <row r="154" spans="2:9" x14ac:dyDescent="0.25">
      <c r="B154" s="137" t="s">
        <v>26</v>
      </c>
    </row>
    <row r="155" spans="2:9" x14ac:dyDescent="0.25">
      <c r="B155" s="132" t="s">
        <v>2</v>
      </c>
      <c r="F155" s="118">
        <v>91109.14</v>
      </c>
    </row>
    <row r="156" spans="2:9" x14ac:dyDescent="0.25">
      <c r="B156" s="132" t="s">
        <v>3</v>
      </c>
      <c r="C156" s="132" t="s">
        <v>115</v>
      </c>
      <c r="F156" s="125">
        <v>0</v>
      </c>
      <c r="G156" s="118">
        <f>F155+F156</f>
        <v>91109.14</v>
      </c>
      <c r="I156" s="136"/>
    </row>
    <row r="157" spans="2:9" x14ac:dyDescent="0.25">
      <c r="B157" s="137" t="s">
        <v>27</v>
      </c>
      <c r="I157" s="138"/>
    </row>
    <row r="158" spans="2:9" x14ac:dyDescent="0.25">
      <c r="B158" s="132" t="s">
        <v>2</v>
      </c>
      <c r="F158" s="118">
        <v>10297.31</v>
      </c>
      <c r="I158" s="136"/>
    </row>
    <row r="159" spans="2:9" x14ac:dyDescent="0.25">
      <c r="B159" s="132" t="s">
        <v>3</v>
      </c>
      <c r="C159" s="137" t="s">
        <v>6</v>
      </c>
    </row>
    <row r="160" spans="2:9" x14ac:dyDescent="0.25">
      <c r="C160" s="132" t="s">
        <v>8</v>
      </c>
      <c r="F160" s="125">
        <f>F155*5.05%</f>
        <v>4601.0115699999997</v>
      </c>
    </row>
    <row r="161" spans="2:8" x14ac:dyDescent="0.25">
      <c r="B161" s="132" t="s">
        <v>4</v>
      </c>
      <c r="C161" s="137" t="s">
        <v>113</v>
      </c>
    </row>
    <row r="162" spans="2:8" x14ac:dyDescent="0.25">
      <c r="C162" s="137"/>
      <c r="F162" s="118">
        <v>0</v>
      </c>
    </row>
    <row r="163" spans="2:8" x14ac:dyDescent="0.25">
      <c r="B163" s="132" t="s">
        <v>4</v>
      </c>
      <c r="C163" s="132" t="s">
        <v>184</v>
      </c>
    </row>
    <row r="164" spans="2:8" x14ac:dyDescent="0.25">
      <c r="C164" s="132" t="s">
        <v>257</v>
      </c>
      <c r="F164" s="125">
        <v>0</v>
      </c>
      <c r="G164" s="125">
        <f>F158+F160-F161</f>
        <v>14898.32157</v>
      </c>
      <c r="H164" s="118">
        <f>SUM(G155:G164)</f>
        <v>106007.46157</v>
      </c>
    </row>
    <row r="166" spans="2:8" x14ac:dyDescent="0.25">
      <c r="B166" s="137" t="s">
        <v>22</v>
      </c>
    </row>
    <row r="167" spans="2:8" x14ac:dyDescent="0.25">
      <c r="B167" s="132" t="s">
        <v>2</v>
      </c>
      <c r="F167" s="118">
        <v>273606.05</v>
      </c>
    </row>
    <row r="168" spans="2:8" x14ac:dyDescent="0.25">
      <c r="B168" s="132" t="s">
        <v>3</v>
      </c>
      <c r="C168" s="137" t="s">
        <v>6</v>
      </c>
    </row>
    <row r="169" spans="2:8" x14ac:dyDescent="0.25">
      <c r="B169" s="132" t="s">
        <v>3</v>
      </c>
      <c r="C169" s="132" t="s">
        <v>115</v>
      </c>
      <c r="F169" s="125">
        <v>0</v>
      </c>
      <c r="G169" s="118">
        <f>SUM(F167:F169)</f>
        <v>273606.05</v>
      </c>
    </row>
    <row r="170" spans="2:8" x14ac:dyDescent="0.25">
      <c r="B170" s="137" t="s">
        <v>23</v>
      </c>
    </row>
    <row r="171" spans="2:8" x14ac:dyDescent="0.25">
      <c r="B171" s="132" t="s">
        <v>2</v>
      </c>
      <c r="F171" s="118">
        <v>25923.43</v>
      </c>
    </row>
    <row r="172" spans="2:8" x14ac:dyDescent="0.25">
      <c r="B172" s="132" t="s">
        <v>3</v>
      </c>
      <c r="C172" s="137" t="s">
        <v>6</v>
      </c>
    </row>
    <row r="173" spans="2:8" x14ac:dyDescent="0.25">
      <c r="C173" s="132" t="s">
        <v>8</v>
      </c>
      <c r="F173" s="125">
        <f>13817.1</f>
        <v>13817.1</v>
      </c>
    </row>
    <row r="174" spans="2:8" x14ac:dyDescent="0.25">
      <c r="F174" s="118">
        <f>SUM(F171:F173)</f>
        <v>39740.53</v>
      </c>
    </row>
    <row r="175" spans="2:8" x14ac:dyDescent="0.25">
      <c r="B175" s="132" t="s">
        <v>4</v>
      </c>
      <c r="C175" s="137" t="s">
        <v>113</v>
      </c>
      <c r="F175" s="125">
        <v>2000</v>
      </c>
    </row>
    <row r="176" spans="2:8" x14ac:dyDescent="0.25">
      <c r="F176" s="127">
        <f>F174-F175</f>
        <v>37740.53</v>
      </c>
    </row>
    <row r="177" spans="2:8" x14ac:dyDescent="0.25">
      <c r="B177" s="132" t="s">
        <v>4</v>
      </c>
      <c r="C177" s="132" t="s">
        <v>184</v>
      </c>
    </row>
    <row r="178" spans="2:8" x14ac:dyDescent="0.25">
      <c r="C178" s="132" t="s">
        <v>166</v>
      </c>
      <c r="F178" s="125">
        <v>0</v>
      </c>
      <c r="G178" s="125">
        <f>F176-F178</f>
        <v>37740.53</v>
      </c>
      <c r="H178" s="118">
        <f>SUM(G169:G178)</f>
        <v>311346.57999999996</v>
      </c>
    </row>
    <row r="180" spans="2:8" x14ac:dyDescent="0.25">
      <c r="B180" s="137" t="s">
        <v>117</v>
      </c>
    </row>
    <row r="181" spans="2:8" x14ac:dyDescent="0.25">
      <c r="B181" s="132" t="s">
        <v>2</v>
      </c>
      <c r="F181" s="118">
        <v>411908.5</v>
      </c>
    </row>
    <row r="182" spans="2:8" x14ac:dyDescent="0.25">
      <c r="B182" s="132" t="s">
        <v>3</v>
      </c>
      <c r="C182" s="132" t="s">
        <v>115</v>
      </c>
      <c r="F182" s="125">
        <v>0</v>
      </c>
      <c r="G182" s="118">
        <f>SUM(F181:F182)</f>
        <v>411908.5</v>
      </c>
    </row>
    <row r="183" spans="2:8" x14ac:dyDescent="0.25">
      <c r="B183" s="137" t="s">
        <v>118</v>
      </c>
    </row>
    <row r="184" spans="2:8" x14ac:dyDescent="0.25">
      <c r="B184" s="132" t="s">
        <v>2</v>
      </c>
      <c r="F184" s="118">
        <v>40091.599999999999</v>
      </c>
    </row>
    <row r="185" spans="2:8" x14ac:dyDescent="0.25">
      <c r="B185" s="132" t="s">
        <v>70</v>
      </c>
      <c r="C185" s="137" t="s">
        <v>6</v>
      </c>
      <c r="F185" s="118">
        <v>0</v>
      </c>
    </row>
    <row r="186" spans="2:8" x14ac:dyDescent="0.25">
      <c r="C186" s="132" t="s">
        <v>8</v>
      </c>
      <c r="F186" s="125">
        <v>20750.87</v>
      </c>
    </row>
    <row r="187" spans="2:8" x14ac:dyDescent="0.25">
      <c r="F187" s="118">
        <f>SUM(F184:F186)</f>
        <v>60842.47</v>
      </c>
    </row>
    <row r="188" spans="2:8" x14ac:dyDescent="0.25">
      <c r="B188" s="132" t="s">
        <v>4</v>
      </c>
      <c r="C188" s="137" t="s">
        <v>113</v>
      </c>
      <c r="F188" s="125">
        <v>10500</v>
      </c>
    </row>
    <row r="189" spans="2:8" x14ac:dyDescent="0.25">
      <c r="F189" s="118">
        <f>F187-F188</f>
        <v>50342.47</v>
      </c>
    </row>
    <row r="190" spans="2:8" x14ac:dyDescent="0.25">
      <c r="B190" s="132" t="s">
        <v>4</v>
      </c>
      <c r="C190" s="132" t="s">
        <v>184</v>
      </c>
    </row>
    <row r="191" spans="2:8" x14ac:dyDescent="0.25">
      <c r="C191" s="132" t="s">
        <v>165</v>
      </c>
      <c r="F191" s="125"/>
      <c r="G191" s="125">
        <f>F189-F191</f>
        <v>50342.47</v>
      </c>
      <c r="H191" s="118">
        <f>SUM(G182:G191)</f>
        <v>462250.97</v>
      </c>
    </row>
    <row r="193" spans="2:8" x14ac:dyDescent="0.25">
      <c r="B193" s="137" t="s">
        <v>32</v>
      </c>
    </row>
    <row r="194" spans="2:8" x14ac:dyDescent="0.25">
      <c r="B194" s="132" t="s">
        <v>2</v>
      </c>
      <c r="F194" s="118">
        <v>246025.04</v>
      </c>
    </row>
    <row r="195" spans="2:8" x14ac:dyDescent="0.25">
      <c r="B195" s="132" t="s">
        <v>3</v>
      </c>
      <c r="C195" s="132" t="s">
        <v>115</v>
      </c>
      <c r="F195" s="125">
        <v>0</v>
      </c>
      <c r="G195" s="118">
        <f>F194+F195</f>
        <v>246025.04</v>
      </c>
    </row>
    <row r="196" spans="2:8" x14ac:dyDescent="0.25">
      <c r="B196" s="137" t="s">
        <v>33</v>
      </c>
    </row>
    <row r="197" spans="2:8" x14ac:dyDescent="0.25">
      <c r="B197" s="132" t="s">
        <v>2</v>
      </c>
      <c r="F197" s="118">
        <v>27806.17</v>
      </c>
    </row>
    <row r="198" spans="2:8" x14ac:dyDescent="0.25">
      <c r="B198" s="132" t="s">
        <v>3</v>
      </c>
      <c r="C198" s="137" t="s">
        <v>6</v>
      </c>
    </row>
    <row r="199" spans="2:8" x14ac:dyDescent="0.25">
      <c r="C199" s="132" t="s">
        <v>8</v>
      </c>
      <c r="F199" s="125">
        <f>F194*5.05%</f>
        <v>12424.264519999999</v>
      </c>
    </row>
    <row r="200" spans="2:8" x14ac:dyDescent="0.25">
      <c r="B200" s="132" t="s">
        <v>4</v>
      </c>
      <c r="C200" s="137" t="s">
        <v>113</v>
      </c>
      <c r="F200" s="125"/>
    </row>
    <row r="201" spans="2:8" x14ac:dyDescent="0.25">
      <c r="F201" s="118">
        <f>F197+F199-F200</f>
        <v>40230.434519999995</v>
      </c>
    </row>
    <row r="202" spans="2:8" x14ac:dyDescent="0.25">
      <c r="B202" s="132" t="s">
        <v>4</v>
      </c>
      <c r="C202" s="132" t="s">
        <v>184</v>
      </c>
    </row>
    <row r="203" spans="2:8" x14ac:dyDescent="0.25">
      <c r="C203" s="132" t="s">
        <v>258</v>
      </c>
      <c r="F203" s="125">
        <v>0</v>
      </c>
      <c r="G203" s="125">
        <f>F201-F203</f>
        <v>40230.434519999995</v>
      </c>
      <c r="H203" s="118">
        <f>SUM(G194:G203)</f>
        <v>286255.47451999999</v>
      </c>
    </row>
    <row r="205" spans="2:8" x14ac:dyDescent="0.25">
      <c r="B205" s="137" t="s">
        <v>41</v>
      </c>
    </row>
    <row r="206" spans="2:8" x14ac:dyDescent="0.25">
      <c r="B206" s="132" t="s">
        <v>2</v>
      </c>
      <c r="F206" s="118">
        <v>88185.64</v>
      </c>
    </row>
    <row r="207" spans="2:8" x14ac:dyDescent="0.25">
      <c r="B207" s="132" t="s">
        <v>3</v>
      </c>
      <c r="C207" s="132" t="s">
        <v>115</v>
      </c>
      <c r="F207" s="125">
        <v>0</v>
      </c>
      <c r="G207" s="118">
        <f>SUM(F206:F207)</f>
        <v>88185.64</v>
      </c>
    </row>
    <row r="208" spans="2:8" x14ac:dyDescent="0.25">
      <c r="B208" s="137" t="s">
        <v>64</v>
      </c>
    </row>
    <row r="209" spans="2:8" x14ac:dyDescent="0.25">
      <c r="B209" s="132" t="s">
        <v>2</v>
      </c>
      <c r="F209" s="118">
        <v>9966.89</v>
      </c>
    </row>
    <row r="210" spans="2:8" x14ac:dyDescent="0.25">
      <c r="B210" s="132" t="s">
        <v>70</v>
      </c>
      <c r="C210" s="137" t="s">
        <v>6</v>
      </c>
    </row>
    <row r="211" spans="2:8" x14ac:dyDescent="0.25">
      <c r="C211" s="132" t="s">
        <v>8</v>
      </c>
      <c r="F211" s="125">
        <f>F206*5.05%</f>
        <v>4453.37482</v>
      </c>
    </row>
    <row r="212" spans="2:8" x14ac:dyDescent="0.25">
      <c r="F212" s="118">
        <f>SUM(F209:F211)</f>
        <v>14420.26482</v>
      </c>
    </row>
    <row r="213" spans="2:8" x14ac:dyDescent="0.25">
      <c r="B213" s="132" t="s">
        <v>71</v>
      </c>
      <c r="C213" s="137" t="s">
        <v>113</v>
      </c>
      <c r="F213" s="125">
        <v>3000</v>
      </c>
    </row>
    <row r="214" spans="2:8" x14ac:dyDescent="0.25">
      <c r="F214" s="118">
        <f>F212-F213</f>
        <v>11420.26482</v>
      </c>
    </row>
    <row r="215" spans="2:8" x14ac:dyDescent="0.25">
      <c r="B215" s="132" t="s">
        <v>4</v>
      </c>
      <c r="C215" s="132" t="s">
        <v>184</v>
      </c>
    </row>
    <row r="216" spans="2:8" x14ac:dyDescent="0.25">
      <c r="C216" s="132" t="s">
        <v>165</v>
      </c>
      <c r="F216" s="125">
        <v>0</v>
      </c>
      <c r="G216" s="125">
        <f>F214-F216</f>
        <v>11420.26482</v>
      </c>
      <c r="H216" s="118">
        <f>SUM(G207:G216)</f>
        <v>99605.904819999996</v>
      </c>
    </row>
    <row r="218" spans="2:8" x14ac:dyDescent="0.25">
      <c r="B218" s="137" t="s">
        <v>93</v>
      </c>
    </row>
    <row r="219" spans="2:8" x14ac:dyDescent="0.25">
      <c r="B219" s="132" t="s">
        <v>2</v>
      </c>
      <c r="F219" s="118">
        <v>193021.19</v>
      </c>
    </row>
    <row r="220" spans="2:8" x14ac:dyDescent="0.25">
      <c r="B220" s="132" t="s">
        <v>3</v>
      </c>
      <c r="C220" s="132" t="s">
        <v>115</v>
      </c>
      <c r="F220" s="125">
        <v>0</v>
      </c>
      <c r="G220" s="118">
        <f>SUM(F219:F220)</f>
        <v>193021.19</v>
      </c>
    </row>
    <row r="221" spans="2:8" x14ac:dyDescent="0.25">
      <c r="B221" s="137" t="s">
        <v>72</v>
      </c>
    </row>
    <row r="222" spans="2:8" x14ac:dyDescent="0.25">
      <c r="B222" s="132" t="s">
        <v>2</v>
      </c>
      <c r="F222" s="118">
        <v>13315.59</v>
      </c>
    </row>
    <row r="223" spans="2:8" x14ac:dyDescent="0.25">
      <c r="B223" s="132" t="s">
        <v>3</v>
      </c>
      <c r="C223" s="137" t="s">
        <v>6</v>
      </c>
    </row>
    <row r="224" spans="2:8" x14ac:dyDescent="0.25">
      <c r="C224" s="132" t="s">
        <v>7</v>
      </c>
      <c r="F224" s="125">
        <v>9747.57</v>
      </c>
    </row>
    <row r="225" spans="2:8" x14ac:dyDescent="0.25">
      <c r="F225" s="118">
        <f>SUM(F222:F224)</f>
        <v>23063.16</v>
      </c>
    </row>
    <row r="226" spans="2:8" x14ac:dyDescent="0.25">
      <c r="B226" s="132" t="s">
        <v>4</v>
      </c>
      <c r="C226" s="137" t="s">
        <v>113</v>
      </c>
      <c r="F226" s="125">
        <v>5000</v>
      </c>
    </row>
    <row r="227" spans="2:8" x14ac:dyDescent="0.25">
      <c r="F227" s="118">
        <f>F225-F226</f>
        <v>18063.16</v>
      </c>
    </row>
    <row r="228" spans="2:8" x14ac:dyDescent="0.25">
      <c r="B228" s="132" t="s">
        <v>4</v>
      </c>
      <c r="C228" s="132" t="s">
        <v>184</v>
      </c>
    </row>
    <row r="229" spans="2:8" x14ac:dyDescent="0.25">
      <c r="C229" s="132" t="s">
        <v>165</v>
      </c>
      <c r="F229" s="125">
        <v>0</v>
      </c>
      <c r="G229" s="125">
        <f>F227-F229</f>
        <v>18063.16</v>
      </c>
      <c r="H229" s="118">
        <f>SUM(G220:G229)</f>
        <v>211084.35</v>
      </c>
    </row>
    <row r="231" spans="2:8" x14ac:dyDescent="0.25">
      <c r="B231" s="137" t="s">
        <v>235</v>
      </c>
    </row>
    <row r="232" spans="2:8" x14ac:dyDescent="0.25">
      <c r="B232" s="132" t="s">
        <v>2</v>
      </c>
      <c r="F232" s="118">
        <v>359929.12</v>
      </c>
    </row>
    <row r="233" spans="2:8" x14ac:dyDescent="0.25">
      <c r="B233" s="132" t="s">
        <v>3</v>
      </c>
      <c r="C233" s="132" t="s">
        <v>6</v>
      </c>
      <c r="F233" s="125">
        <v>0</v>
      </c>
      <c r="G233" s="118">
        <f>F232+F233</f>
        <v>359929.12</v>
      </c>
      <c r="H233" s="118">
        <v>0</v>
      </c>
    </row>
    <row r="234" spans="2:8" x14ac:dyDescent="0.25">
      <c r="B234" s="137" t="s">
        <v>277</v>
      </c>
    </row>
    <row r="235" spans="2:8" x14ac:dyDescent="0.25">
      <c r="B235" s="132" t="s">
        <v>2</v>
      </c>
      <c r="F235" s="118">
        <v>17301.71</v>
      </c>
    </row>
    <row r="236" spans="2:8" x14ac:dyDescent="0.25">
      <c r="B236" s="132" t="s">
        <v>3</v>
      </c>
      <c r="C236" s="137" t="s">
        <v>6</v>
      </c>
    </row>
    <row r="237" spans="2:8" x14ac:dyDescent="0.25">
      <c r="C237" s="132" t="s">
        <v>7</v>
      </c>
      <c r="F237" s="125">
        <f>F232*5.05%</f>
        <v>18176.420559999999</v>
      </c>
    </row>
    <row r="238" spans="2:8" x14ac:dyDescent="0.25">
      <c r="F238" s="118">
        <f>SUM(F235:F237)</f>
        <v>35478.130559999998</v>
      </c>
    </row>
    <row r="239" spans="2:8" x14ac:dyDescent="0.25">
      <c r="B239" s="132" t="s">
        <v>4</v>
      </c>
      <c r="C239" s="137" t="s">
        <v>113</v>
      </c>
      <c r="F239" s="125"/>
    </row>
    <row r="240" spans="2:8" x14ac:dyDescent="0.25">
      <c r="F240" s="118">
        <f>F238-F239</f>
        <v>35478.130559999998</v>
      </c>
    </row>
    <row r="241" spans="2:8" x14ac:dyDescent="0.25">
      <c r="B241" s="132" t="s">
        <v>4</v>
      </c>
      <c r="C241" s="132" t="s">
        <v>184</v>
      </c>
    </row>
    <row r="242" spans="2:8" x14ac:dyDescent="0.25">
      <c r="C242" s="132" t="s">
        <v>165</v>
      </c>
      <c r="F242" s="125">
        <v>0</v>
      </c>
      <c r="G242" s="125">
        <f>F240-F242</f>
        <v>35478.130559999998</v>
      </c>
      <c r="H242" s="118">
        <f>SUM(G233:G242)</f>
        <v>395407.25056000001</v>
      </c>
    </row>
    <row r="244" spans="2:8" x14ac:dyDescent="0.25">
      <c r="B244" s="137" t="s">
        <v>246</v>
      </c>
    </row>
    <row r="245" spans="2:8" x14ac:dyDescent="0.25">
      <c r="B245" s="132" t="s">
        <v>2</v>
      </c>
      <c r="F245" s="118">
        <v>342792.96000000002</v>
      </c>
    </row>
    <row r="246" spans="2:8" x14ac:dyDescent="0.25">
      <c r="B246" s="132" t="s">
        <v>3</v>
      </c>
      <c r="C246" s="132" t="s">
        <v>6</v>
      </c>
      <c r="F246" s="125">
        <v>0</v>
      </c>
      <c r="G246" s="118">
        <f>F245+F246</f>
        <v>342792.96000000002</v>
      </c>
      <c r="H246" s="118">
        <v>0</v>
      </c>
    </row>
    <row r="248" spans="2:8" x14ac:dyDescent="0.25">
      <c r="B248" s="137" t="s">
        <v>287</v>
      </c>
    </row>
    <row r="249" spans="2:8" x14ac:dyDescent="0.25">
      <c r="B249" s="132" t="s">
        <v>2</v>
      </c>
      <c r="F249" s="118">
        <v>31393.040000000001</v>
      </c>
    </row>
    <row r="250" spans="2:8" x14ac:dyDescent="0.25">
      <c r="B250" s="132" t="s">
        <v>3</v>
      </c>
      <c r="C250" s="137" t="s">
        <v>6</v>
      </c>
    </row>
    <row r="252" spans="2:8" x14ac:dyDescent="0.25">
      <c r="C252" s="132" t="s">
        <v>7</v>
      </c>
      <c r="F252" s="125">
        <f>F245*5.05%</f>
        <v>17311.04448</v>
      </c>
    </row>
    <row r="253" spans="2:8" x14ac:dyDescent="0.25">
      <c r="F253" s="127">
        <f>F249+F250+F251+F252</f>
        <v>48704.084480000005</v>
      </c>
    </row>
    <row r="254" spans="2:8" x14ac:dyDescent="0.25">
      <c r="B254" s="132" t="s">
        <v>4</v>
      </c>
      <c r="C254" s="137" t="s">
        <v>113</v>
      </c>
    </row>
    <row r="255" spans="2:8" x14ac:dyDescent="0.25">
      <c r="F255" s="118">
        <f>F253-F254</f>
        <v>48704.084480000005</v>
      </c>
    </row>
    <row r="256" spans="2:8" x14ac:dyDescent="0.25">
      <c r="B256" s="132" t="s">
        <v>4</v>
      </c>
      <c r="C256" s="132" t="s">
        <v>184</v>
      </c>
    </row>
    <row r="257" spans="2:8" x14ac:dyDescent="0.25">
      <c r="C257" s="132" t="s">
        <v>165</v>
      </c>
    </row>
    <row r="258" spans="2:8" x14ac:dyDescent="0.25">
      <c r="F258" s="125">
        <v>0</v>
      </c>
      <c r="G258" s="118">
        <f>F255-F258</f>
        <v>48704.084480000005</v>
      </c>
      <c r="H258" s="118">
        <f>SUM(G246:G258)</f>
        <v>391497.04448000004</v>
      </c>
    </row>
    <row r="260" spans="2:8" x14ac:dyDescent="0.25">
      <c r="B260" s="137" t="s">
        <v>241</v>
      </c>
    </row>
    <row r="261" spans="2:8" x14ac:dyDescent="0.25">
      <c r="B261" s="132" t="s">
        <v>2</v>
      </c>
      <c r="F261" s="118">
        <v>346191.32</v>
      </c>
    </row>
    <row r="262" spans="2:8" x14ac:dyDescent="0.25">
      <c r="B262" s="132" t="s">
        <v>3</v>
      </c>
      <c r="C262" s="132" t="s">
        <v>6</v>
      </c>
      <c r="F262" s="125">
        <v>0</v>
      </c>
      <c r="G262" s="118">
        <f>F261+F262</f>
        <v>346191.32</v>
      </c>
      <c r="H262" s="118">
        <v>0</v>
      </c>
    </row>
    <row r="263" spans="2:8" x14ac:dyDescent="0.25">
      <c r="B263" s="137" t="s">
        <v>278</v>
      </c>
    </row>
    <row r="264" spans="2:8" x14ac:dyDescent="0.25">
      <c r="B264" s="132" t="s">
        <v>2</v>
      </c>
      <c r="F264" s="118">
        <v>39127.14</v>
      </c>
    </row>
    <row r="265" spans="2:8" x14ac:dyDescent="0.25">
      <c r="B265" s="132" t="s">
        <v>3</v>
      </c>
      <c r="C265" s="137" t="s">
        <v>6</v>
      </c>
    </row>
    <row r="266" spans="2:8" x14ac:dyDescent="0.25">
      <c r="C266" s="132" t="s">
        <v>7</v>
      </c>
      <c r="F266" s="125">
        <f>F261*5.05%</f>
        <v>17482.661659999998</v>
      </c>
    </row>
    <row r="267" spans="2:8" x14ac:dyDescent="0.25">
      <c r="F267" s="118">
        <f>SUM(F264:F266)</f>
        <v>56609.801659999997</v>
      </c>
    </row>
    <row r="268" spans="2:8" x14ac:dyDescent="0.25">
      <c r="B268" s="132" t="s">
        <v>4</v>
      </c>
      <c r="C268" s="137" t="s">
        <v>113</v>
      </c>
      <c r="F268" s="125"/>
    </row>
    <row r="269" spans="2:8" x14ac:dyDescent="0.25">
      <c r="F269" s="118">
        <f>F267-F268</f>
        <v>56609.801659999997</v>
      </c>
    </row>
    <row r="270" spans="2:8" x14ac:dyDescent="0.25">
      <c r="B270" s="132" t="s">
        <v>4</v>
      </c>
      <c r="C270" s="132" t="s">
        <v>184</v>
      </c>
    </row>
    <row r="271" spans="2:8" x14ac:dyDescent="0.25">
      <c r="C271" s="132" t="s">
        <v>165</v>
      </c>
      <c r="F271" s="125">
        <v>0</v>
      </c>
      <c r="G271" s="125">
        <f>F269-F271</f>
        <v>56609.801659999997</v>
      </c>
      <c r="H271" s="118">
        <f>SUM(G262:G271)</f>
        <v>402801.12166</v>
      </c>
    </row>
    <row r="273" spans="2:8" x14ac:dyDescent="0.25">
      <c r="B273" s="137" t="s">
        <v>279</v>
      </c>
    </row>
    <row r="274" spans="2:8" x14ac:dyDescent="0.25">
      <c r="B274" s="132" t="s">
        <v>2</v>
      </c>
      <c r="F274" s="118">
        <v>340396.75</v>
      </c>
    </row>
    <row r="275" spans="2:8" x14ac:dyDescent="0.25">
      <c r="B275" s="132" t="s">
        <v>3</v>
      </c>
      <c r="C275" s="132" t="s">
        <v>6</v>
      </c>
      <c r="F275" s="125">
        <v>0</v>
      </c>
      <c r="G275" s="118">
        <f>F274+F275</f>
        <v>340396.75</v>
      </c>
      <c r="H275" s="118">
        <v>0</v>
      </c>
    </row>
    <row r="276" spans="2:8" x14ac:dyDescent="0.25">
      <c r="B276" s="137" t="s">
        <v>280</v>
      </c>
    </row>
    <row r="277" spans="2:8" x14ac:dyDescent="0.25">
      <c r="B277" s="132" t="s">
        <v>2</v>
      </c>
      <c r="F277" s="118">
        <v>38472.22</v>
      </c>
    </row>
    <row r="278" spans="2:8" x14ac:dyDescent="0.25">
      <c r="B278" s="132" t="s">
        <v>3</v>
      </c>
      <c r="C278" s="137" t="s">
        <v>6</v>
      </c>
    </row>
    <row r="279" spans="2:8" x14ac:dyDescent="0.25">
      <c r="C279" s="132" t="s">
        <v>7</v>
      </c>
      <c r="F279" s="125">
        <f>17190.03</f>
        <v>17190.03</v>
      </c>
    </row>
    <row r="280" spans="2:8" x14ac:dyDescent="0.25">
      <c r="F280" s="118">
        <f>SUM(F277:F279)</f>
        <v>55662.25</v>
      </c>
    </row>
    <row r="281" spans="2:8" x14ac:dyDescent="0.25">
      <c r="B281" s="132" t="s">
        <v>4</v>
      </c>
      <c r="C281" s="137" t="s">
        <v>113</v>
      </c>
      <c r="F281" s="125"/>
    </row>
    <row r="282" spans="2:8" x14ac:dyDescent="0.25">
      <c r="F282" s="118">
        <f>F280-F281</f>
        <v>55662.25</v>
      </c>
    </row>
    <row r="283" spans="2:8" x14ac:dyDescent="0.25">
      <c r="B283" s="132" t="s">
        <v>4</v>
      </c>
      <c r="C283" s="132" t="s">
        <v>184</v>
      </c>
    </row>
    <row r="284" spans="2:8" x14ac:dyDescent="0.25">
      <c r="C284" s="132" t="s">
        <v>165</v>
      </c>
      <c r="F284" s="125">
        <v>0</v>
      </c>
      <c r="G284" s="125">
        <f>F282-F284</f>
        <v>55662.25</v>
      </c>
      <c r="H284" s="118">
        <f>SUM(G275:G284)</f>
        <v>396059</v>
      </c>
    </row>
    <row r="289" spans="1:8" x14ac:dyDescent="0.25">
      <c r="A289" s="134" t="s">
        <v>116</v>
      </c>
    </row>
    <row r="291" spans="1:8" x14ac:dyDescent="0.25">
      <c r="B291" s="137" t="s">
        <v>30</v>
      </c>
    </row>
    <row r="292" spans="1:8" x14ac:dyDescent="0.25">
      <c r="B292" s="132" t="s">
        <v>2</v>
      </c>
      <c r="F292" s="118">
        <v>117653.77</v>
      </c>
    </row>
    <row r="293" spans="1:8" x14ac:dyDescent="0.25">
      <c r="B293" s="132" t="s">
        <v>3</v>
      </c>
      <c r="C293" s="132" t="s">
        <v>115</v>
      </c>
      <c r="F293" s="125">
        <v>0</v>
      </c>
      <c r="G293" s="118">
        <f>SUM(F292:F293)</f>
        <v>117653.77</v>
      </c>
    </row>
    <row r="294" spans="1:8" x14ac:dyDescent="0.25">
      <c r="B294" s="137" t="s">
        <v>31</v>
      </c>
    </row>
    <row r="295" spans="1:8" x14ac:dyDescent="0.25">
      <c r="B295" s="132" t="s">
        <v>2</v>
      </c>
      <c r="F295" s="118">
        <v>13297.43</v>
      </c>
    </row>
    <row r="296" spans="1:8" x14ac:dyDescent="0.25">
      <c r="B296" s="132" t="s">
        <v>3</v>
      </c>
      <c r="C296" s="137" t="s">
        <v>6</v>
      </c>
    </row>
    <row r="297" spans="1:8" x14ac:dyDescent="0.25">
      <c r="C297" s="132" t="s">
        <v>8</v>
      </c>
      <c r="F297" s="125">
        <f>5941.51</f>
        <v>5941.51</v>
      </c>
    </row>
    <row r="298" spans="1:8" x14ac:dyDescent="0.25">
      <c r="F298" s="118">
        <f>SUM(F295:F297)</f>
        <v>19238.940000000002</v>
      </c>
    </row>
    <row r="299" spans="1:8" x14ac:dyDescent="0.25">
      <c r="B299" s="132" t="s">
        <v>4</v>
      </c>
      <c r="C299" s="137" t="s">
        <v>377</v>
      </c>
      <c r="F299" s="125"/>
    </row>
    <row r="300" spans="1:8" x14ac:dyDescent="0.25">
      <c r="F300" s="118">
        <f>F298-F299</f>
        <v>19238.940000000002</v>
      </c>
    </row>
    <row r="301" spans="1:8" x14ac:dyDescent="0.25">
      <c r="B301" s="132" t="s">
        <v>4</v>
      </c>
      <c r="C301" s="132" t="s">
        <v>184</v>
      </c>
    </row>
    <row r="302" spans="1:8" x14ac:dyDescent="0.25">
      <c r="C302" s="132" t="s">
        <v>165</v>
      </c>
      <c r="F302" s="125">
        <v>0</v>
      </c>
      <c r="G302" s="125">
        <f>F300-F302</f>
        <v>19238.940000000002</v>
      </c>
      <c r="H302" s="118">
        <f>SUM(G293:G302)</f>
        <v>136892.71000000002</v>
      </c>
    </row>
    <row r="304" spans="1:8" x14ac:dyDescent="0.25">
      <c r="B304" s="137" t="s">
        <v>120</v>
      </c>
    </row>
    <row r="305" spans="2:8" x14ac:dyDescent="0.25">
      <c r="B305" s="132" t="s">
        <v>2</v>
      </c>
      <c r="F305" s="118">
        <v>1800067.15</v>
      </c>
    </row>
    <row r="306" spans="2:8" x14ac:dyDescent="0.25">
      <c r="B306" s="132" t="s">
        <v>3</v>
      </c>
      <c r="C306" s="132" t="s">
        <v>115</v>
      </c>
      <c r="F306" s="125">
        <v>0</v>
      </c>
      <c r="G306" s="118">
        <f>SUM(F305:F306)</f>
        <v>1800067.15</v>
      </c>
    </row>
    <row r="307" spans="2:8" x14ac:dyDescent="0.25">
      <c r="B307" s="137" t="s">
        <v>119</v>
      </c>
    </row>
    <row r="308" spans="2:8" x14ac:dyDescent="0.25">
      <c r="B308" s="132" t="s">
        <v>2</v>
      </c>
      <c r="F308" s="118">
        <v>79450.09</v>
      </c>
    </row>
    <row r="309" spans="2:8" x14ac:dyDescent="0.25">
      <c r="B309" s="132" t="s">
        <v>3</v>
      </c>
      <c r="C309" s="137" t="s">
        <v>6</v>
      </c>
    </row>
    <row r="310" spans="2:8" x14ac:dyDescent="0.25">
      <c r="C310" s="139" t="s">
        <v>8</v>
      </c>
      <c r="F310" s="125">
        <f>F305*5.05%</f>
        <v>90903.391074999992</v>
      </c>
    </row>
    <row r="311" spans="2:8" x14ac:dyDescent="0.25">
      <c r="C311" s="132" t="s">
        <v>301</v>
      </c>
    </row>
    <row r="312" spans="2:8" x14ac:dyDescent="0.25">
      <c r="C312" s="140"/>
      <c r="F312" s="127">
        <f>F308+F309+F310+F311</f>
        <v>170353.48107499999</v>
      </c>
    </row>
    <row r="313" spans="2:8" x14ac:dyDescent="0.25">
      <c r="B313" s="132" t="s">
        <v>4</v>
      </c>
      <c r="C313" s="137" t="s">
        <v>290</v>
      </c>
      <c r="F313" s="125">
        <v>75000</v>
      </c>
    </row>
    <row r="314" spans="2:8" x14ac:dyDescent="0.25">
      <c r="C314" s="137"/>
      <c r="F314" s="118">
        <f>F312-F313</f>
        <v>95353.481074999989</v>
      </c>
    </row>
    <row r="315" spans="2:8" x14ac:dyDescent="0.25">
      <c r="B315" s="132" t="s">
        <v>4</v>
      </c>
      <c r="C315" s="132" t="s">
        <v>184</v>
      </c>
    </row>
    <row r="316" spans="2:8" x14ac:dyDescent="0.25">
      <c r="C316" s="132" t="s">
        <v>165</v>
      </c>
      <c r="F316" s="125">
        <v>0</v>
      </c>
      <c r="G316" s="125">
        <f>F314-F316</f>
        <v>95353.481074999989</v>
      </c>
      <c r="H316" s="118">
        <f>SUM(G305:G316)</f>
        <v>1895420.6310749999</v>
      </c>
    </row>
    <row r="318" spans="2:8" x14ac:dyDescent="0.25">
      <c r="B318" s="137" t="s">
        <v>188</v>
      </c>
    </row>
    <row r="319" spans="2:8" x14ac:dyDescent="0.25">
      <c r="B319" s="132" t="s">
        <v>2</v>
      </c>
      <c r="F319" s="118">
        <v>210267.82</v>
      </c>
    </row>
    <row r="320" spans="2:8" x14ac:dyDescent="0.25">
      <c r="B320" s="132" t="s">
        <v>3</v>
      </c>
      <c r="C320" s="132" t="s">
        <v>261</v>
      </c>
    </row>
    <row r="321" spans="2:10" x14ac:dyDescent="0.25">
      <c r="C321" s="132" t="s">
        <v>262</v>
      </c>
      <c r="F321" s="118">
        <v>0</v>
      </c>
      <c r="G321" s="118">
        <f>SUM(F319:F321)</f>
        <v>210267.82</v>
      </c>
    </row>
    <row r="322" spans="2:10" x14ac:dyDescent="0.25">
      <c r="B322" s="137" t="s">
        <v>189</v>
      </c>
    </row>
    <row r="323" spans="2:10" x14ac:dyDescent="0.25">
      <c r="B323" s="132" t="s">
        <v>2</v>
      </c>
      <c r="F323" s="118">
        <v>6676.27</v>
      </c>
    </row>
    <row r="324" spans="2:10" x14ac:dyDescent="0.25">
      <c r="B324" s="132" t="s">
        <v>3</v>
      </c>
      <c r="C324" s="137" t="s">
        <v>6</v>
      </c>
      <c r="D324" s="137"/>
      <c r="F324" s="118">
        <v>10000</v>
      </c>
    </row>
    <row r="325" spans="2:10" x14ac:dyDescent="0.25">
      <c r="C325" s="132" t="s">
        <v>8</v>
      </c>
      <c r="F325" s="125">
        <f>F319*5.05%</f>
        <v>10618.52491</v>
      </c>
      <c r="J325" s="132">
        <v>8959.44</v>
      </c>
    </row>
    <row r="326" spans="2:10" x14ac:dyDescent="0.25">
      <c r="F326" s="118">
        <f>-F323-F324+F325</f>
        <v>-6057.7450900000003</v>
      </c>
    </row>
    <row r="327" spans="2:10" x14ac:dyDescent="0.25">
      <c r="B327" s="132" t="s">
        <v>4</v>
      </c>
      <c r="C327" s="137" t="s">
        <v>190</v>
      </c>
      <c r="D327" s="137"/>
      <c r="F327" s="125"/>
    </row>
    <row r="328" spans="2:10" x14ac:dyDescent="0.25">
      <c r="F328" s="118">
        <f>F326-F327</f>
        <v>-6057.7450900000003</v>
      </c>
    </row>
    <row r="329" spans="2:10" x14ac:dyDescent="0.25">
      <c r="B329" s="132" t="s">
        <v>4</v>
      </c>
      <c r="C329" s="132" t="s">
        <v>242</v>
      </c>
      <c r="F329" s="125"/>
      <c r="G329" s="125">
        <f>F328+F329</f>
        <v>-6057.7450900000003</v>
      </c>
      <c r="H329" s="118">
        <f>SUM(G321:G329)</f>
        <v>204210.07491</v>
      </c>
    </row>
    <row r="331" spans="2:10" x14ac:dyDescent="0.25">
      <c r="B331" s="137" t="s">
        <v>42</v>
      </c>
    </row>
    <row r="332" spans="2:10" x14ac:dyDescent="0.25">
      <c r="B332" s="132" t="s">
        <v>2</v>
      </c>
      <c r="F332" s="118">
        <v>97200.09</v>
      </c>
    </row>
    <row r="333" spans="2:10" x14ac:dyDescent="0.25">
      <c r="B333" s="132" t="s">
        <v>3</v>
      </c>
      <c r="C333" s="132" t="s">
        <v>115</v>
      </c>
      <c r="F333" s="125">
        <v>0</v>
      </c>
      <c r="G333" s="118">
        <f>SUM(F332:F333)</f>
        <v>97200.09</v>
      </c>
    </row>
    <row r="334" spans="2:10" x14ac:dyDescent="0.25">
      <c r="B334" s="137" t="s">
        <v>65</v>
      </c>
    </row>
    <row r="335" spans="2:10" x14ac:dyDescent="0.25">
      <c r="B335" s="132" t="s">
        <v>2</v>
      </c>
      <c r="F335" s="118">
        <v>514.28</v>
      </c>
    </row>
    <row r="336" spans="2:10" x14ac:dyDescent="0.25">
      <c r="B336" s="132" t="s">
        <v>70</v>
      </c>
      <c r="C336" s="137" t="s">
        <v>6</v>
      </c>
    </row>
    <row r="337" spans="2:8" x14ac:dyDescent="0.25">
      <c r="C337" s="132" t="s">
        <v>8</v>
      </c>
      <c r="F337" s="125">
        <f>F332*5.05%</f>
        <v>4908.6045449999992</v>
      </c>
    </row>
    <row r="338" spans="2:8" x14ac:dyDescent="0.25">
      <c r="F338" s="118">
        <f>F337-F335</f>
        <v>4394.3245449999995</v>
      </c>
    </row>
    <row r="339" spans="2:8" x14ac:dyDescent="0.25">
      <c r="B339" s="132" t="s">
        <v>4</v>
      </c>
      <c r="C339" s="137" t="s">
        <v>121</v>
      </c>
      <c r="F339" s="125">
        <v>0</v>
      </c>
    </row>
    <row r="340" spans="2:8" x14ac:dyDescent="0.25">
      <c r="F340" s="118">
        <f>F338-F339</f>
        <v>4394.3245449999995</v>
      </c>
    </row>
    <row r="341" spans="2:8" x14ac:dyDescent="0.25">
      <c r="B341" s="132" t="s">
        <v>4</v>
      </c>
      <c r="C341" s="132" t="s">
        <v>184</v>
      </c>
    </row>
    <row r="342" spans="2:8" x14ac:dyDescent="0.25">
      <c r="C342" s="132" t="s">
        <v>166</v>
      </c>
      <c r="F342" s="125">
        <v>0</v>
      </c>
      <c r="G342" s="125">
        <f>F340-F342</f>
        <v>4394.3245449999995</v>
      </c>
      <c r="H342" s="118">
        <f>SUM(G333:G342)</f>
        <v>101594.41454499999</v>
      </c>
    </row>
    <row r="344" spans="2:8" x14ac:dyDescent="0.25">
      <c r="B344" s="137" t="s">
        <v>34</v>
      </c>
    </row>
    <row r="345" spans="2:8" x14ac:dyDescent="0.25">
      <c r="B345" s="132" t="s">
        <v>2</v>
      </c>
      <c r="F345" s="118">
        <v>535287.69999999995</v>
      </c>
    </row>
    <row r="346" spans="2:8" x14ac:dyDescent="0.25">
      <c r="B346" s="132" t="s">
        <v>3</v>
      </c>
      <c r="C346" s="132" t="s">
        <v>232</v>
      </c>
      <c r="F346" s="125">
        <v>0</v>
      </c>
      <c r="G346" s="118">
        <f>F345+F346</f>
        <v>535287.69999999995</v>
      </c>
    </row>
    <row r="347" spans="2:8" x14ac:dyDescent="0.25">
      <c r="B347" s="137" t="s">
        <v>35</v>
      </c>
    </row>
    <row r="348" spans="2:8" x14ac:dyDescent="0.25">
      <c r="B348" s="132" t="s">
        <v>2</v>
      </c>
      <c r="F348" s="118">
        <v>60499.13</v>
      </c>
    </row>
    <row r="349" spans="2:8" x14ac:dyDescent="0.25">
      <c r="B349" s="132" t="s">
        <v>3</v>
      </c>
      <c r="C349" s="137" t="s">
        <v>6</v>
      </c>
    </row>
    <row r="350" spans="2:8" x14ac:dyDescent="0.25">
      <c r="C350" s="132" t="s">
        <v>8</v>
      </c>
      <c r="F350" s="125">
        <v>27031.99</v>
      </c>
    </row>
    <row r="351" spans="2:8" x14ac:dyDescent="0.25">
      <c r="F351" s="118">
        <f>F348+F350</f>
        <v>87531.12</v>
      </c>
    </row>
    <row r="352" spans="2:8" x14ac:dyDescent="0.25">
      <c r="B352" s="132" t="s">
        <v>4</v>
      </c>
      <c r="C352" s="137" t="s">
        <v>292</v>
      </c>
    </row>
    <row r="353" spans="2:8" x14ac:dyDescent="0.25">
      <c r="F353" s="118">
        <f>F351-F352</f>
        <v>87531.12</v>
      </c>
    </row>
    <row r="354" spans="2:8" x14ac:dyDescent="0.25">
      <c r="B354" s="132" t="s">
        <v>4</v>
      </c>
      <c r="C354" s="132" t="s">
        <v>184</v>
      </c>
    </row>
    <row r="355" spans="2:8" x14ac:dyDescent="0.25">
      <c r="C355" s="132" t="s">
        <v>166</v>
      </c>
      <c r="F355" s="125">
        <v>0</v>
      </c>
      <c r="G355" s="125">
        <f>F353-F355</f>
        <v>87531.12</v>
      </c>
      <c r="H355" s="118">
        <f>SUM(G346:G355)</f>
        <v>622818.81999999995</v>
      </c>
    </row>
    <row r="357" spans="2:8" x14ac:dyDescent="0.25">
      <c r="F357" s="132"/>
      <c r="G357" s="132"/>
      <c r="H357" s="132"/>
    </row>
    <row r="358" spans="2:8" x14ac:dyDescent="0.25">
      <c r="B358" s="137" t="s">
        <v>91</v>
      </c>
    </row>
    <row r="359" spans="2:8" x14ac:dyDescent="0.25">
      <c r="B359" s="132" t="s">
        <v>2</v>
      </c>
      <c r="F359" s="118">
        <v>243116.12</v>
      </c>
    </row>
    <row r="360" spans="2:8" x14ac:dyDescent="0.25">
      <c r="B360" s="132" t="s">
        <v>3</v>
      </c>
      <c r="C360" s="132" t="s">
        <v>6</v>
      </c>
      <c r="F360" s="118">
        <v>0</v>
      </c>
    </row>
    <row r="361" spans="2:8" x14ac:dyDescent="0.25">
      <c r="B361" s="132" t="s">
        <v>3</v>
      </c>
      <c r="C361" s="132" t="s">
        <v>115</v>
      </c>
      <c r="F361" s="125">
        <v>0</v>
      </c>
      <c r="G361" s="118">
        <f>SUM(F359:F361)</f>
        <v>243116.12</v>
      </c>
    </row>
    <row r="362" spans="2:8" x14ac:dyDescent="0.25">
      <c r="B362" s="137" t="s">
        <v>249</v>
      </c>
    </row>
    <row r="363" spans="2:8" x14ac:dyDescent="0.25">
      <c r="B363" s="132" t="s">
        <v>2</v>
      </c>
      <c r="F363" s="118">
        <v>27477.4</v>
      </c>
    </row>
    <row r="364" spans="2:8" x14ac:dyDescent="0.25">
      <c r="B364" s="132" t="s">
        <v>3</v>
      </c>
      <c r="C364" s="137" t="s">
        <v>6</v>
      </c>
    </row>
    <row r="365" spans="2:8" x14ac:dyDescent="0.25">
      <c r="C365" s="132" t="s">
        <v>8</v>
      </c>
      <c r="F365" s="125">
        <f>F359*5.05%</f>
        <v>12277.364059999998</v>
      </c>
    </row>
    <row r="366" spans="2:8" x14ac:dyDescent="0.25">
      <c r="F366" s="118">
        <f>SUM(F363:F365)</f>
        <v>39754.764060000001</v>
      </c>
    </row>
    <row r="367" spans="2:8" x14ac:dyDescent="0.25">
      <c r="B367" s="132" t="s">
        <v>4</v>
      </c>
      <c r="C367" s="137" t="s">
        <v>292</v>
      </c>
      <c r="F367" s="125"/>
    </row>
    <row r="368" spans="2:8" x14ac:dyDescent="0.25">
      <c r="F368" s="118">
        <f>F366-F367</f>
        <v>39754.764060000001</v>
      </c>
    </row>
    <row r="369" spans="2:8" x14ac:dyDescent="0.25">
      <c r="B369" s="132" t="s">
        <v>4</v>
      </c>
      <c r="C369" s="132" t="s">
        <v>184</v>
      </c>
    </row>
    <row r="370" spans="2:8" x14ac:dyDescent="0.25">
      <c r="C370" s="132" t="s">
        <v>165</v>
      </c>
      <c r="F370" s="125">
        <v>0</v>
      </c>
      <c r="G370" s="125">
        <f>F368-F370</f>
        <v>39754.764060000001</v>
      </c>
      <c r="H370" s="118">
        <f>SUM(G361:G370)</f>
        <v>282870.88406000001</v>
      </c>
    </row>
    <row r="372" spans="2:8" x14ac:dyDescent="0.25">
      <c r="B372" s="137" t="s">
        <v>66</v>
      </c>
    </row>
    <row r="373" spans="2:8" x14ac:dyDescent="0.25">
      <c r="B373" s="132" t="s">
        <v>2</v>
      </c>
      <c r="F373" s="118">
        <v>525898.02</v>
      </c>
    </row>
    <row r="374" spans="2:8" x14ac:dyDescent="0.25">
      <c r="B374" s="132" t="s">
        <v>3</v>
      </c>
      <c r="C374" s="132" t="s">
        <v>115</v>
      </c>
      <c r="F374" s="125">
        <v>0</v>
      </c>
      <c r="G374" s="118">
        <f>SUM(F373:F374)</f>
        <v>525898.02</v>
      </c>
    </row>
    <row r="375" spans="2:8" x14ac:dyDescent="0.25">
      <c r="B375" s="137" t="s">
        <v>67</v>
      </c>
    </row>
    <row r="376" spans="2:8" x14ac:dyDescent="0.25">
      <c r="B376" s="132" t="s">
        <v>2</v>
      </c>
      <c r="F376" s="118">
        <v>59437.9</v>
      </c>
    </row>
    <row r="377" spans="2:8" x14ac:dyDescent="0.25">
      <c r="B377" s="132" t="s">
        <v>3</v>
      </c>
      <c r="C377" s="137" t="s">
        <v>6</v>
      </c>
      <c r="F377" s="118">
        <v>0</v>
      </c>
    </row>
    <row r="378" spans="2:8" x14ac:dyDescent="0.25">
      <c r="C378" s="132" t="s">
        <v>7</v>
      </c>
      <c r="F378" s="125">
        <f>F373*5.05%</f>
        <v>26557.850009999998</v>
      </c>
    </row>
    <row r="379" spans="2:8" x14ac:dyDescent="0.25">
      <c r="F379" s="118">
        <f>SUM(F376:F378)</f>
        <v>85995.750010000003</v>
      </c>
    </row>
    <row r="380" spans="2:8" x14ac:dyDescent="0.25">
      <c r="B380" s="132" t="s">
        <v>4</v>
      </c>
      <c r="C380" s="137" t="s">
        <v>292</v>
      </c>
      <c r="F380" s="125"/>
    </row>
    <row r="381" spans="2:8" x14ac:dyDescent="0.25">
      <c r="F381" s="118">
        <f>F379-F380</f>
        <v>85995.750010000003</v>
      </c>
    </row>
    <row r="382" spans="2:8" x14ac:dyDescent="0.25">
      <c r="B382" s="132" t="s">
        <v>4</v>
      </c>
      <c r="C382" s="132" t="s">
        <v>184</v>
      </c>
    </row>
    <row r="383" spans="2:8" x14ac:dyDescent="0.25">
      <c r="C383" s="132" t="s">
        <v>166</v>
      </c>
      <c r="F383" s="125">
        <v>0</v>
      </c>
      <c r="G383" s="125">
        <f>F381-F383</f>
        <v>85995.750010000003</v>
      </c>
      <c r="H383" s="118">
        <f>SUM(G374:G383)</f>
        <v>611893.77000999998</v>
      </c>
    </row>
    <row r="386" spans="1:8" x14ac:dyDescent="0.25">
      <c r="B386" s="137" t="s">
        <v>159</v>
      </c>
    </row>
    <row r="387" spans="1:8" x14ac:dyDescent="0.25">
      <c r="B387" s="132" t="s">
        <v>2</v>
      </c>
      <c r="F387" s="118">
        <v>501826.35</v>
      </c>
    </row>
    <row r="388" spans="1:8" x14ac:dyDescent="0.25">
      <c r="B388" s="132" t="s">
        <v>3</v>
      </c>
      <c r="C388" s="132" t="s">
        <v>115</v>
      </c>
      <c r="F388" s="125">
        <v>0</v>
      </c>
      <c r="G388" s="118">
        <f>F387+F388</f>
        <v>501826.35</v>
      </c>
    </row>
    <row r="389" spans="1:8" x14ac:dyDescent="0.25">
      <c r="B389" s="137" t="s">
        <v>158</v>
      </c>
    </row>
    <row r="390" spans="1:8" x14ac:dyDescent="0.25">
      <c r="B390" s="132" t="s">
        <v>2</v>
      </c>
      <c r="F390" s="118">
        <v>14066.01</v>
      </c>
    </row>
    <row r="391" spans="1:8" x14ac:dyDescent="0.25">
      <c r="B391" s="132" t="s">
        <v>70</v>
      </c>
      <c r="C391" s="137" t="s">
        <v>6</v>
      </c>
    </row>
    <row r="392" spans="1:8" x14ac:dyDescent="0.25">
      <c r="C392" s="132" t="s">
        <v>8</v>
      </c>
      <c r="F392" s="125">
        <f>F387*5.05%</f>
        <v>25342.230674999995</v>
      </c>
    </row>
    <row r="393" spans="1:8" x14ac:dyDescent="0.25">
      <c r="F393" s="127"/>
    </row>
    <row r="394" spans="1:8" x14ac:dyDescent="0.25">
      <c r="B394" s="132" t="s">
        <v>4</v>
      </c>
      <c r="C394" s="137" t="s">
        <v>236</v>
      </c>
      <c r="F394" s="125"/>
    </row>
    <row r="395" spans="1:8" x14ac:dyDescent="0.25">
      <c r="F395" s="118">
        <f>F390+F392-F394</f>
        <v>39408.240674999994</v>
      </c>
    </row>
    <row r="396" spans="1:8" ht="11.25" customHeight="1" x14ac:dyDescent="0.25">
      <c r="B396" s="132" t="s">
        <v>4</v>
      </c>
      <c r="C396" s="132" t="s">
        <v>288</v>
      </c>
    </row>
    <row r="397" spans="1:8" x14ac:dyDescent="0.25">
      <c r="A397" s="134"/>
      <c r="C397" s="132" t="s">
        <v>264</v>
      </c>
      <c r="F397" s="125"/>
      <c r="G397" s="125">
        <f>F395+F397</f>
        <v>39408.240674999994</v>
      </c>
      <c r="H397" s="118">
        <f>SUM(G388:G397)</f>
        <v>541234.59067499998</v>
      </c>
    </row>
    <row r="399" spans="1:8" x14ac:dyDescent="0.25">
      <c r="B399" s="137" t="s">
        <v>28</v>
      </c>
    </row>
    <row r="400" spans="1:8" x14ac:dyDescent="0.25">
      <c r="B400" s="132" t="s">
        <v>2</v>
      </c>
      <c r="F400" s="118">
        <v>256685.8</v>
      </c>
    </row>
    <row r="401" spans="2:8" x14ac:dyDescent="0.25">
      <c r="B401" s="132" t="s">
        <v>3</v>
      </c>
      <c r="C401" s="132" t="s">
        <v>115</v>
      </c>
      <c r="F401" s="125">
        <v>0</v>
      </c>
      <c r="G401" s="118">
        <f>SUM(F400:F401)</f>
        <v>256685.8</v>
      </c>
    </row>
    <row r="402" spans="2:8" x14ac:dyDescent="0.25">
      <c r="B402" s="137" t="s">
        <v>29</v>
      </c>
    </row>
    <row r="403" spans="2:8" x14ac:dyDescent="0.25">
      <c r="B403" s="132" t="s">
        <v>2</v>
      </c>
      <c r="F403" s="118">
        <v>23548.07</v>
      </c>
    </row>
    <row r="404" spans="2:8" x14ac:dyDescent="0.25">
      <c r="B404" s="132" t="s">
        <v>3</v>
      </c>
      <c r="C404" s="137" t="s">
        <v>6</v>
      </c>
    </row>
    <row r="405" spans="2:8" x14ac:dyDescent="0.25">
      <c r="C405" s="132" t="s">
        <v>7</v>
      </c>
      <c r="F405" s="125">
        <f>F400*5.05%</f>
        <v>12962.632899999999</v>
      </c>
    </row>
    <row r="406" spans="2:8" x14ac:dyDescent="0.25">
      <c r="F406" s="118">
        <f>SUM(F403:F405)</f>
        <v>36510.702899999997</v>
      </c>
    </row>
    <row r="407" spans="2:8" x14ac:dyDescent="0.25">
      <c r="B407" s="132" t="s">
        <v>4</v>
      </c>
      <c r="C407" s="137" t="s">
        <v>250</v>
      </c>
      <c r="F407" s="125"/>
    </row>
    <row r="408" spans="2:8" x14ac:dyDescent="0.25">
      <c r="F408" s="118">
        <f>F406-F407</f>
        <v>36510.702899999997</v>
      </c>
    </row>
    <row r="409" spans="2:8" x14ac:dyDescent="0.25">
      <c r="B409" s="132" t="s">
        <v>4</v>
      </c>
      <c r="C409" s="132" t="s">
        <v>184</v>
      </c>
    </row>
    <row r="410" spans="2:8" x14ac:dyDescent="0.25">
      <c r="C410" s="132" t="s">
        <v>166</v>
      </c>
      <c r="F410" s="125">
        <v>0</v>
      </c>
      <c r="G410" s="125">
        <f>F408-F410</f>
        <v>36510.702899999997</v>
      </c>
      <c r="H410" s="118">
        <f>SUM(G401:G410)</f>
        <v>293196.50289999996</v>
      </c>
    </row>
    <row r="412" spans="2:8" x14ac:dyDescent="0.25">
      <c r="B412" s="137" t="s">
        <v>24</v>
      </c>
    </row>
    <row r="413" spans="2:8" x14ac:dyDescent="0.25">
      <c r="B413" s="132" t="s">
        <v>2</v>
      </c>
      <c r="F413" s="118">
        <v>266202.51</v>
      </c>
    </row>
    <row r="414" spans="2:8" x14ac:dyDescent="0.25">
      <c r="B414" s="132" t="s">
        <v>3</v>
      </c>
      <c r="C414" s="132" t="s">
        <v>115</v>
      </c>
      <c r="F414" s="125"/>
      <c r="G414" s="118">
        <f>SUM(F413:F414)</f>
        <v>266202.51</v>
      </c>
    </row>
    <row r="415" spans="2:8" x14ac:dyDescent="0.25">
      <c r="B415" s="137" t="s">
        <v>25</v>
      </c>
    </row>
    <row r="416" spans="2:8" x14ac:dyDescent="0.25">
      <c r="B416" s="132" t="s">
        <v>2</v>
      </c>
      <c r="F416" s="118">
        <v>30086.67</v>
      </c>
    </row>
    <row r="417" spans="2:8" x14ac:dyDescent="0.25">
      <c r="B417" s="132" t="s">
        <v>3</v>
      </c>
      <c r="C417" s="137" t="s">
        <v>6</v>
      </c>
    </row>
    <row r="418" spans="2:8" x14ac:dyDescent="0.25">
      <c r="C418" s="132" t="s">
        <v>8</v>
      </c>
      <c r="F418" s="125">
        <f>13443.22</f>
        <v>13443.22</v>
      </c>
    </row>
    <row r="419" spans="2:8" x14ac:dyDescent="0.25">
      <c r="F419" s="118">
        <f>SUM(F416:F418)</f>
        <v>43529.89</v>
      </c>
    </row>
    <row r="420" spans="2:8" x14ac:dyDescent="0.25">
      <c r="B420" s="132" t="s">
        <v>4</v>
      </c>
      <c r="C420" s="132" t="s">
        <v>376</v>
      </c>
    </row>
    <row r="421" spans="2:8" x14ac:dyDescent="0.25">
      <c r="B421" s="132" t="s">
        <v>4</v>
      </c>
      <c r="C421" s="137" t="s">
        <v>323</v>
      </c>
      <c r="F421" s="125"/>
    </row>
    <row r="422" spans="2:8" x14ac:dyDescent="0.25">
      <c r="D422" s="137"/>
      <c r="F422" s="118">
        <f>F419-F421-F420</f>
        <v>43529.89</v>
      </c>
    </row>
    <row r="423" spans="2:8" x14ac:dyDescent="0.25">
      <c r="B423" s="132" t="s">
        <v>4</v>
      </c>
      <c r="C423" s="132" t="s">
        <v>184</v>
      </c>
    </row>
    <row r="424" spans="2:8" x14ac:dyDescent="0.25">
      <c r="C424" s="132" t="s">
        <v>166</v>
      </c>
      <c r="F424" s="125"/>
      <c r="G424" s="125">
        <f>F422-F424</f>
        <v>43529.89</v>
      </c>
      <c r="H424" s="118">
        <f>SUM(G414:G424)</f>
        <v>309732.40000000002</v>
      </c>
    </row>
    <row r="426" spans="2:8" x14ac:dyDescent="0.25">
      <c r="B426" s="137" t="s">
        <v>36</v>
      </c>
    </row>
    <row r="427" spans="2:8" x14ac:dyDescent="0.25">
      <c r="B427" s="132" t="s">
        <v>2</v>
      </c>
      <c r="F427" s="118">
        <v>987711.07</v>
      </c>
    </row>
    <row r="428" spans="2:8" x14ac:dyDescent="0.25">
      <c r="B428" s="132" t="s">
        <v>3</v>
      </c>
      <c r="C428" s="132" t="s">
        <v>115</v>
      </c>
      <c r="F428" s="125"/>
      <c r="G428" s="118">
        <f>SUM(F427:F428)</f>
        <v>987711.07</v>
      </c>
    </row>
    <row r="429" spans="2:8" x14ac:dyDescent="0.25">
      <c r="B429" s="137" t="s">
        <v>37</v>
      </c>
    </row>
    <row r="430" spans="2:8" x14ac:dyDescent="0.25">
      <c r="B430" s="132" t="s">
        <v>2</v>
      </c>
      <c r="F430" s="118">
        <v>211632.79</v>
      </c>
    </row>
    <row r="431" spans="2:8" x14ac:dyDescent="0.25">
      <c r="B431" s="132" t="s">
        <v>3</v>
      </c>
      <c r="C431" s="137" t="s">
        <v>6</v>
      </c>
      <c r="E431" s="132" t="s">
        <v>533</v>
      </c>
      <c r="F431" s="118">
        <v>0</v>
      </c>
    </row>
    <row r="432" spans="2:8" x14ac:dyDescent="0.25">
      <c r="C432" s="132" t="s">
        <v>8</v>
      </c>
      <c r="F432" s="125">
        <f>49879.4</f>
        <v>49879.4</v>
      </c>
    </row>
    <row r="433" spans="2:8" x14ac:dyDescent="0.25">
      <c r="F433" s="118">
        <f>F430+F432</f>
        <v>261512.19</v>
      </c>
    </row>
    <row r="434" spans="2:8" x14ac:dyDescent="0.25">
      <c r="B434" s="132" t="s">
        <v>4</v>
      </c>
      <c r="C434" s="137" t="s">
        <v>323</v>
      </c>
    </row>
    <row r="435" spans="2:8" x14ac:dyDescent="0.25">
      <c r="B435" s="132" t="s">
        <v>4</v>
      </c>
      <c r="C435" s="137" t="s">
        <v>251</v>
      </c>
      <c r="F435" s="125">
        <v>0</v>
      </c>
      <c r="G435" s="125">
        <f>F433-F435-F434+F431</f>
        <v>261512.19</v>
      </c>
      <c r="H435" s="118">
        <f>SUM(G428:G435)</f>
        <v>1249223.26</v>
      </c>
    </row>
    <row r="437" spans="2:8" x14ac:dyDescent="0.25">
      <c r="B437" s="137" t="s">
        <v>228</v>
      </c>
    </row>
    <row r="438" spans="2:8" x14ac:dyDescent="0.25">
      <c r="B438" s="132" t="s">
        <v>2</v>
      </c>
      <c r="F438" s="118">
        <v>166205.23000000001</v>
      </c>
    </row>
    <row r="439" spans="2:8" x14ac:dyDescent="0.25">
      <c r="B439" s="132" t="s">
        <v>3</v>
      </c>
      <c r="C439" s="132" t="s">
        <v>115</v>
      </c>
      <c r="F439" s="125"/>
      <c r="G439" s="118">
        <f>SUM(F438:F439)</f>
        <v>166205.23000000001</v>
      </c>
    </row>
    <row r="440" spans="2:8" x14ac:dyDescent="0.25">
      <c r="B440" s="137" t="s">
        <v>180</v>
      </c>
    </row>
    <row r="441" spans="2:8" x14ac:dyDescent="0.25">
      <c r="B441" s="132" t="s">
        <v>2</v>
      </c>
      <c r="F441" s="118">
        <v>18784.8</v>
      </c>
    </row>
    <row r="442" spans="2:8" x14ac:dyDescent="0.25">
      <c r="B442" s="132" t="s">
        <v>3</v>
      </c>
      <c r="C442" s="137" t="s">
        <v>6</v>
      </c>
    </row>
    <row r="443" spans="2:8" x14ac:dyDescent="0.25">
      <c r="C443" s="132" t="s">
        <v>8</v>
      </c>
      <c r="F443" s="125">
        <f>F438*5.05%</f>
        <v>8393.3641150000003</v>
      </c>
    </row>
    <row r="444" spans="2:8" x14ac:dyDescent="0.25">
      <c r="F444" s="118">
        <f>F441+F443</f>
        <v>27178.164115</v>
      </c>
    </row>
    <row r="445" spans="2:8" x14ac:dyDescent="0.25">
      <c r="B445" s="132" t="s">
        <v>4</v>
      </c>
      <c r="C445" s="137" t="s">
        <v>378</v>
      </c>
    </row>
    <row r="446" spans="2:8" x14ac:dyDescent="0.25">
      <c r="B446" s="132" t="s">
        <v>4</v>
      </c>
      <c r="C446" s="132" t="s">
        <v>184</v>
      </c>
    </row>
    <row r="447" spans="2:8" x14ac:dyDescent="0.25">
      <c r="C447" s="132" t="s">
        <v>165</v>
      </c>
      <c r="F447" s="125"/>
      <c r="G447" s="125">
        <f>F444-F445</f>
        <v>27178.164115</v>
      </c>
      <c r="H447" s="118">
        <f>SUM(G439:G447)</f>
        <v>193383.394115</v>
      </c>
    </row>
    <row r="449" spans="2:8" x14ac:dyDescent="0.25">
      <c r="B449" s="137" t="s">
        <v>38</v>
      </c>
    </row>
    <row r="450" spans="2:8" x14ac:dyDescent="0.25">
      <c r="B450" s="132" t="s">
        <v>2</v>
      </c>
      <c r="F450" s="118">
        <v>761731.19</v>
      </c>
    </row>
    <row r="451" spans="2:8" x14ac:dyDescent="0.25">
      <c r="B451" s="132" t="s">
        <v>3</v>
      </c>
      <c r="C451" s="132" t="s">
        <v>115</v>
      </c>
      <c r="F451" s="118">
        <v>0</v>
      </c>
    </row>
    <row r="452" spans="2:8" x14ac:dyDescent="0.25">
      <c r="F452" s="125">
        <v>0</v>
      </c>
      <c r="G452" s="118">
        <f>F450+F451+F452</f>
        <v>761731.19</v>
      </c>
    </row>
    <row r="453" spans="2:8" x14ac:dyDescent="0.25">
      <c r="B453" s="137" t="s">
        <v>39</v>
      </c>
    </row>
    <row r="454" spans="2:8" x14ac:dyDescent="0.25">
      <c r="B454" s="132" t="s">
        <v>2</v>
      </c>
      <c r="F454" s="118">
        <v>86092.160000000003</v>
      </c>
    </row>
    <row r="455" spans="2:8" x14ac:dyDescent="0.25">
      <c r="B455" s="132" t="s">
        <v>3</v>
      </c>
      <c r="C455" s="137" t="s">
        <v>6</v>
      </c>
    </row>
    <row r="456" spans="2:8" x14ac:dyDescent="0.25">
      <c r="C456" s="132" t="s">
        <v>7</v>
      </c>
      <c r="F456" s="125">
        <f>38467.42</f>
        <v>38467.42</v>
      </c>
    </row>
    <row r="457" spans="2:8" x14ac:dyDescent="0.25">
      <c r="F457" s="118">
        <f>SUM(F454:F456)</f>
        <v>124559.58</v>
      </c>
    </row>
    <row r="458" spans="2:8" x14ac:dyDescent="0.25">
      <c r="B458" s="132" t="s">
        <v>4</v>
      </c>
      <c r="C458" s="137" t="s">
        <v>373</v>
      </c>
      <c r="F458" s="125"/>
    </row>
    <row r="459" spans="2:8" x14ac:dyDescent="0.25">
      <c r="F459" s="118">
        <f>F457-F458</f>
        <v>124559.58</v>
      </c>
    </row>
    <row r="460" spans="2:8" x14ac:dyDescent="0.25">
      <c r="B460" s="132" t="s">
        <v>4</v>
      </c>
      <c r="C460" s="132" t="s">
        <v>184</v>
      </c>
    </row>
    <row r="461" spans="2:8" x14ac:dyDescent="0.25">
      <c r="C461" s="132" t="s">
        <v>165</v>
      </c>
      <c r="F461" s="125">
        <v>0</v>
      </c>
      <c r="G461" s="125">
        <f>F459-F461</f>
        <v>124559.58</v>
      </c>
      <c r="H461" s="118">
        <f>SUM(G451:G461)</f>
        <v>886290.7699999999</v>
      </c>
    </row>
    <row r="463" spans="2:8" x14ac:dyDescent="0.25">
      <c r="B463" s="137" t="s">
        <v>76</v>
      </c>
    </row>
    <row r="464" spans="2:8" x14ac:dyDescent="0.25">
      <c r="B464" s="132" t="s">
        <v>2</v>
      </c>
      <c r="F464" s="118">
        <v>1870599.43</v>
      </c>
    </row>
    <row r="465" spans="2:8" x14ac:dyDescent="0.25">
      <c r="B465" s="132" t="s">
        <v>3</v>
      </c>
      <c r="C465" s="132" t="s">
        <v>115</v>
      </c>
      <c r="F465" s="125">
        <v>0</v>
      </c>
      <c r="G465" s="118">
        <f>F464+F469</f>
        <v>1965064.7012149999</v>
      </c>
    </row>
    <row r="466" spans="2:8" x14ac:dyDescent="0.25">
      <c r="B466" s="137" t="s">
        <v>74</v>
      </c>
    </row>
    <row r="467" spans="2:8" x14ac:dyDescent="0.25">
      <c r="B467" s="132" t="s">
        <v>2</v>
      </c>
      <c r="F467" s="118">
        <v>108380</v>
      </c>
    </row>
    <row r="468" spans="2:8" x14ac:dyDescent="0.25">
      <c r="B468" s="132" t="s">
        <v>3</v>
      </c>
      <c r="C468" s="137" t="s">
        <v>6</v>
      </c>
    </row>
    <row r="469" spans="2:8" x14ac:dyDescent="0.25">
      <c r="C469" s="132" t="s">
        <v>7</v>
      </c>
      <c r="F469" s="125">
        <f>F464*5.05%</f>
        <v>94465.271214999986</v>
      </c>
    </row>
    <row r="470" spans="2:8" x14ac:dyDescent="0.25">
      <c r="F470" s="118">
        <f>SUM(F467:F469)</f>
        <v>202845.27121499999</v>
      </c>
    </row>
    <row r="471" spans="2:8" x14ac:dyDescent="0.25">
      <c r="B471" s="132" t="s">
        <v>4</v>
      </c>
      <c r="C471" s="137" t="s">
        <v>122</v>
      </c>
      <c r="F471" s="125">
        <f>32578+48000</f>
        <v>80578</v>
      </c>
    </row>
    <row r="472" spans="2:8" x14ac:dyDescent="0.25">
      <c r="F472" s="118">
        <f>F470-F471</f>
        <v>122267.27121499999</v>
      </c>
    </row>
    <row r="473" spans="2:8" x14ac:dyDescent="0.25">
      <c r="B473" s="132" t="s">
        <v>4</v>
      </c>
      <c r="C473" s="132" t="s">
        <v>184</v>
      </c>
    </row>
    <row r="474" spans="2:8" x14ac:dyDescent="0.25">
      <c r="C474" s="132" t="s">
        <v>166</v>
      </c>
      <c r="F474" s="125">
        <v>0</v>
      </c>
      <c r="G474" s="125">
        <f>F467-F471</f>
        <v>27802</v>
      </c>
      <c r="H474" s="118">
        <f>SUM(G465:G474)</f>
        <v>1992866.7012149999</v>
      </c>
    </row>
    <row r="477" spans="2:8" x14ac:dyDescent="0.25">
      <c r="B477" s="137" t="s">
        <v>259</v>
      </c>
    </row>
    <row r="478" spans="2:8" x14ac:dyDescent="0.25">
      <c r="B478" s="132" t="s">
        <v>2</v>
      </c>
      <c r="F478" s="118">
        <v>1445523.06</v>
      </c>
    </row>
    <row r="479" spans="2:8" x14ac:dyDescent="0.25">
      <c r="B479" s="132" t="s">
        <v>3</v>
      </c>
      <c r="C479" s="132" t="s">
        <v>115</v>
      </c>
      <c r="F479" s="125">
        <v>0</v>
      </c>
      <c r="G479" s="118">
        <f>F478+F479</f>
        <v>1445523.06</v>
      </c>
    </row>
    <row r="480" spans="2:8" x14ac:dyDescent="0.25">
      <c r="B480" s="137" t="s">
        <v>260</v>
      </c>
    </row>
    <row r="481" spans="2:8" x14ac:dyDescent="0.25">
      <c r="B481" s="132" t="s">
        <v>2</v>
      </c>
      <c r="F481" s="118">
        <v>118031.96</v>
      </c>
    </row>
    <row r="482" spans="2:8" x14ac:dyDescent="0.25">
      <c r="B482" s="132" t="s">
        <v>3</v>
      </c>
      <c r="C482" s="137" t="s">
        <v>6</v>
      </c>
      <c r="F482" s="118">
        <v>60000</v>
      </c>
    </row>
    <row r="483" spans="2:8" x14ac:dyDescent="0.25">
      <c r="C483" s="132" t="s">
        <v>7</v>
      </c>
      <c r="F483" s="125">
        <f>F478*5.05%</f>
        <v>72998.914529999995</v>
      </c>
    </row>
    <row r="484" spans="2:8" x14ac:dyDescent="0.25">
      <c r="F484" s="118">
        <f>-F481-F482+F483</f>
        <v>-105033.04547000003</v>
      </c>
    </row>
    <row r="485" spans="2:8" x14ac:dyDescent="0.25">
      <c r="B485" s="132" t="s">
        <v>4</v>
      </c>
      <c r="C485" s="137" t="s">
        <v>191</v>
      </c>
      <c r="F485" s="125"/>
    </row>
    <row r="487" spans="2:8" x14ac:dyDescent="0.25">
      <c r="B487" s="132" t="s">
        <v>4</v>
      </c>
      <c r="C487" s="132" t="s">
        <v>225</v>
      </c>
    </row>
    <row r="488" spans="2:8" x14ac:dyDescent="0.25">
      <c r="C488" s="132" t="s">
        <v>165</v>
      </c>
      <c r="F488" s="125">
        <v>0</v>
      </c>
      <c r="G488" s="125">
        <f>F484-F485</f>
        <v>-105033.04547000003</v>
      </c>
      <c r="H488" s="118">
        <f>SUM(G479:G488)</f>
        <v>1340490.01453</v>
      </c>
    </row>
    <row r="491" spans="2:8" x14ac:dyDescent="0.25">
      <c r="B491" s="137" t="s">
        <v>299</v>
      </c>
    </row>
    <row r="492" spans="2:8" x14ac:dyDescent="0.25">
      <c r="B492" s="132" t="s">
        <v>2</v>
      </c>
      <c r="F492" s="118">
        <v>261793.69</v>
      </c>
    </row>
    <row r="493" spans="2:8" x14ac:dyDescent="0.25">
      <c r="B493" s="132" t="s">
        <v>3</v>
      </c>
      <c r="C493" s="132" t="s">
        <v>6</v>
      </c>
    </row>
    <row r="494" spans="2:8" x14ac:dyDescent="0.25">
      <c r="B494" s="132" t="s">
        <v>3</v>
      </c>
      <c r="C494" s="132" t="s">
        <v>115</v>
      </c>
      <c r="F494" s="125">
        <v>0</v>
      </c>
      <c r="G494" s="118">
        <f>F492+F494+F493</f>
        <v>261793.69</v>
      </c>
    </row>
    <row r="495" spans="2:8" x14ac:dyDescent="0.25">
      <c r="B495" s="137" t="s">
        <v>300</v>
      </c>
    </row>
    <row r="496" spans="2:8" x14ac:dyDescent="0.25">
      <c r="B496" s="132" t="s">
        <v>2</v>
      </c>
      <c r="F496" s="118">
        <v>29588.37</v>
      </c>
    </row>
    <row r="497" spans="2:8" x14ac:dyDescent="0.25">
      <c r="B497" s="132" t="s">
        <v>3</v>
      </c>
      <c r="C497" s="137" t="s">
        <v>6</v>
      </c>
    </row>
    <row r="498" spans="2:8" x14ac:dyDescent="0.25">
      <c r="C498" s="132" t="s">
        <v>7</v>
      </c>
      <c r="F498" s="125">
        <f>F492*5.05%</f>
        <v>13220.581344999999</v>
      </c>
    </row>
    <row r="499" spans="2:8" x14ac:dyDescent="0.25">
      <c r="F499" s="118">
        <f>SUM(F496:F498)</f>
        <v>42808.951344999994</v>
      </c>
    </row>
    <row r="500" spans="2:8" x14ac:dyDescent="0.25">
      <c r="B500" s="132" t="s">
        <v>4</v>
      </c>
      <c r="C500" s="137" t="s">
        <v>374</v>
      </c>
      <c r="F500" s="125"/>
    </row>
    <row r="501" spans="2:8" x14ac:dyDescent="0.25">
      <c r="F501" s="118">
        <f>F499-F500</f>
        <v>42808.951344999994</v>
      </c>
    </row>
    <row r="502" spans="2:8" x14ac:dyDescent="0.25">
      <c r="B502" s="132" t="s">
        <v>4</v>
      </c>
      <c r="C502" s="132" t="s">
        <v>312</v>
      </c>
    </row>
    <row r="503" spans="2:8" x14ac:dyDescent="0.25">
      <c r="C503" s="132" t="s">
        <v>264</v>
      </c>
      <c r="F503" s="125">
        <v>0</v>
      </c>
      <c r="G503" s="125">
        <f>F501+F503</f>
        <v>42808.951344999994</v>
      </c>
      <c r="H503" s="118">
        <f>SUM(G494:G503)</f>
        <v>304602.64134500001</v>
      </c>
    </row>
    <row r="506" spans="2:8" x14ac:dyDescent="0.25">
      <c r="B506" s="137" t="s">
        <v>309</v>
      </c>
    </row>
    <row r="507" spans="2:8" x14ac:dyDescent="0.25">
      <c r="B507" s="132" t="s">
        <v>2</v>
      </c>
      <c r="F507" s="118">
        <v>299072.28999999998</v>
      </c>
    </row>
    <row r="508" spans="2:8" x14ac:dyDescent="0.25">
      <c r="B508" s="132" t="s">
        <v>3</v>
      </c>
      <c r="C508" s="132" t="s">
        <v>6</v>
      </c>
    </row>
    <row r="509" spans="2:8" x14ac:dyDescent="0.25">
      <c r="B509" s="132" t="s">
        <v>3</v>
      </c>
      <c r="C509" s="132" t="s">
        <v>115</v>
      </c>
      <c r="F509" s="125">
        <v>0</v>
      </c>
      <c r="G509" s="118">
        <f>F507+F509+F508</f>
        <v>299072.28999999998</v>
      </c>
    </row>
    <row r="510" spans="2:8" x14ac:dyDescent="0.25">
      <c r="B510" s="137" t="s">
        <v>310</v>
      </c>
    </row>
    <row r="511" spans="2:8" x14ac:dyDescent="0.25">
      <c r="B511" s="132" t="s">
        <v>2</v>
      </c>
      <c r="F511" s="118">
        <v>33801.660000000003</v>
      </c>
    </row>
    <row r="512" spans="2:8" x14ac:dyDescent="0.25">
      <c r="B512" s="132" t="s">
        <v>3</v>
      </c>
      <c r="C512" s="137" t="s">
        <v>6</v>
      </c>
      <c r="F512" s="118">
        <v>0</v>
      </c>
    </row>
    <row r="513" spans="1:8" x14ac:dyDescent="0.25">
      <c r="C513" s="132" t="s">
        <v>7</v>
      </c>
      <c r="F513" s="125">
        <f>F507*5.05%</f>
        <v>15103.150644999998</v>
      </c>
    </row>
    <row r="514" spans="1:8" x14ac:dyDescent="0.25">
      <c r="F514" s="118">
        <f>SUM(F511:F513)</f>
        <v>48904.810645000005</v>
      </c>
    </row>
    <row r="515" spans="1:8" x14ac:dyDescent="0.25">
      <c r="B515" s="132" t="s">
        <v>4</v>
      </c>
      <c r="C515" s="137" t="s">
        <v>375</v>
      </c>
      <c r="F515" s="125"/>
    </row>
    <row r="516" spans="1:8" x14ac:dyDescent="0.25">
      <c r="F516" s="118">
        <f>F514-F515</f>
        <v>48904.810645000005</v>
      </c>
    </row>
    <row r="517" spans="1:8" x14ac:dyDescent="0.25">
      <c r="B517" s="132" t="s">
        <v>4</v>
      </c>
      <c r="C517" s="132" t="s">
        <v>311</v>
      </c>
    </row>
    <row r="518" spans="1:8" x14ac:dyDescent="0.25">
      <c r="C518" s="132" t="s">
        <v>264</v>
      </c>
      <c r="F518" s="125">
        <v>0</v>
      </c>
      <c r="G518" s="125">
        <f>F516-F518</f>
        <v>48904.810645000005</v>
      </c>
      <c r="H518" s="118">
        <f>SUM(G509:G518)</f>
        <v>347977.100645</v>
      </c>
    </row>
    <row r="520" spans="1:8" x14ac:dyDescent="0.25">
      <c r="A520" s="134" t="s">
        <v>123</v>
      </c>
    </row>
    <row r="522" spans="1:8" x14ac:dyDescent="0.25">
      <c r="B522" s="137" t="s">
        <v>95</v>
      </c>
    </row>
    <row r="523" spans="1:8" x14ac:dyDescent="0.25">
      <c r="B523" s="132" t="s">
        <v>2</v>
      </c>
      <c r="F523" s="118">
        <v>896891.32</v>
      </c>
    </row>
    <row r="524" spans="1:8" x14ac:dyDescent="0.25">
      <c r="B524" s="132" t="s">
        <v>3</v>
      </c>
      <c r="C524" s="132" t="s">
        <v>115</v>
      </c>
      <c r="F524" s="125">
        <v>0</v>
      </c>
      <c r="G524" s="118">
        <f>SUM(F523:F524)</f>
        <v>896891.32</v>
      </c>
    </row>
    <row r="525" spans="1:8" x14ac:dyDescent="0.25">
      <c r="B525" s="137" t="s">
        <v>124</v>
      </c>
      <c r="F525" s="118">
        <v>0</v>
      </c>
    </row>
    <row r="526" spans="1:8" x14ac:dyDescent="0.25">
      <c r="B526" s="132" t="s">
        <v>2</v>
      </c>
      <c r="F526" s="118">
        <v>101368.19</v>
      </c>
    </row>
    <row r="527" spans="1:8" x14ac:dyDescent="0.25">
      <c r="B527" s="132" t="s">
        <v>3</v>
      </c>
      <c r="C527" s="137" t="s">
        <v>6</v>
      </c>
    </row>
    <row r="528" spans="1:8" x14ac:dyDescent="0.25">
      <c r="C528" s="132" t="s">
        <v>8</v>
      </c>
      <c r="F528" s="125"/>
    </row>
    <row r="529" spans="2:8" x14ac:dyDescent="0.25">
      <c r="F529" s="118">
        <f>SUM(F525:F528)</f>
        <v>101368.19</v>
      </c>
    </row>
    <row r="530" spans="2:8" x14ac:dyDescent="0.25">
      <c r="B530" s="132" t="s">
        <v>4</v>
      </c>
      <c r="C530" s="137" t="s">
        <v>284</v>
      </c>
      <c r="F530" s="125">
        <v>0</v>
      </c>
    </row>
    <row r="531" spans="2:8" x14ac:dyDescent="0.25">
      <c r="F531" s="118">
        <f>F529-F530</f>
        <v>101368.19</v>
      </c>
    </row>
    <row r="532" spans="2:8" x14ac:dyDescent="0.25">
      <c r="B532" s="132" t="s">
        <v>4</v>
      </c>
      <c r="C532" s="132" t="s">
        <v>184</v>
      </c>
    </row>
    <row r="533" spans="2:8" ht="15.75" customHeight="1" x14ac:dyDescent="0.25">
      <c r="C533" s="267" t="s">
        <v>165</v>
      </c>
      <c r="D533" s="267"/>
      <c r="E533" s="267"/>
    </row>
    <row r="534" spans="2:8" x14ac:dyDescent="0.25">
      <c r="C534" s="141"/>
      <c r="D534" s="141"/>
      <c r="E534" s="141"/>
      <c r="F534" s="125">
        <v>0</v>
      </c>
      <c r="G534" s="125">
        <f>F531-F534</f>
        <v>101368.19</v>
      </c>
      <c r="H534" s="118">
        <f>SUM(G524:G534)</f>
        <v>998259.51</v>
      </c>
    </row>
    <row r="536" spans="2:8" x14ac:dyDescent="0.25">
      <c r="B536" s="137" t="s">
        <v>10</v>
      </c>
    </row>
    <row r="537" spans="2:8" x14ac:dyDescent="0.25">
      <c r="B537" s="132" t="s">
        <v>2</v>
      </c>
      <c r="F537" s="118">
        <v>98125.1</v>
      </c>
    </row>
    <row r="538" spans="2:8" x14ac:dyDescent="0.25">
      <c r="B538" s="132" t="s">
        <v>3</v>
      </c>
      <c r="C538" s="132" t="s">
        <v>115</v>
      </c>
      <c r="F538" s="125">
        <v>0</v>
      </c>
      <c r="G538" s="118">
        <f>SUM(F537:F538)</f>
        <v>98125.1</v>
      </c>
    </row>
    <row r="539" spans="2:8" x14ac:dyDescent="0.25">
      <c r="B539" s="137" t="s">
        <v>11</v>
      </c>
    </row>
    <row r="540" spans="2:8" x14ac:dyDescent="0.25">
      <c r="B540" s="132" t="s">
        <v>2</v>
      </c>
      <c r="F540" s="118">
        <v>11090.27</v>
      </c>
    </row>
    <row r="541" spans="2:8" x14ac:dyDescent="0.25">
      <c r="B541" s="132" t="s">
        <v>3</v>
      </c>
      <c r="C541" s="137" t="s">
        <v>6</v>
      </c>
    </row>
    <row r="542" spans="2:8" x14ac:dyDescent="0.25">
      <c r="C542" s="132" t="s">
        <v>8</v>
      </c>
      <c r="F542" s="125">
        <f>4955.31</f>
        <v>4955.3100000000004</v>
      </c>
    </row>
    <row r="543" spans="2:8" x14ac:dyDescent="0.25">
      <c r="F543" s="118">
        <f>SUM(F540:F542)</f>
        <v>16045.580000000002</v>
      </c>
    </row>
    <row r="544" spans="2:8" x14ac:dyDescent="0.25">
      <c r="B544" s="132" t="s">
        <v>4</v>
      </c>
      <c r="C544" s="132" t="s">
        <v>184</v>
      </c>
    </row>
    <row r="545" spans="1:8" x14ac:dyDescent="0.25">
      <c r="C545" s="132" t="s">
        <v>166</v>
      </c>
      <c r="F545" s="125">
        <v>0</v>
      </c>
      <c r="G545" s="125">
        <f>F543-F545</f>
        <v>16045.580000000002</v>
      </c>
      <c r="H545" s="118">
        <f>SUM(G538:G545)</f>
        <v>114170.68000000001</v>
      </c>
    </row>
    <row r="547" spans="1:8" x14ac:dyDescent="0.25">
      <c r="B547" s="137" t="s">
        <v>126</v>
      </c>
    </row>
    <row r="548" spans="1:8" x14ac:dyDescent="0.25">
      <c r="B548" s="132" t="s">
        <v>2</v>
      </c>
      <c r="F548" s="118">
        <v>42814.29</v>
      </c>
    </row>
    <row r="549" spans="1:8" x14ac:dyDescent="0.25">
      <c r="B549" s="132" t="s">
        <v>3</v>
      </c>
      <c r="C549" s="132" t="s">
        <v>115</v>
      </c>
      <c r="F549" s="125">
        <v>0</v>
      </c>
      <c r="G549" s="118">
        <f>SUM(F548:F549)</f>
        <v>42814.29</v>
      </c>
    </row>
    <row r="550" spans="1:8" x14ac:dyDescent="0.25">
      <c r="B550" s="137" t="s">
        <v>125</v>
      </c>
    </row>
    <row r="551" spans="1:8" x14ac:dyDescent="0.25">
      <c r="B551" s="132" t="s">
        <v>2</v>
      </c>
      <c r="F551" s="118">
        <v>4838.95</v>
      </c>
    </row>
    <row r="552" spans="1:8" x14ac:dyDescent="0.25">
      <c r="B552" s="132" t="s">
        <v>3</v>
      </c>
      <c r="C552" s="137" t="s">
        <v>6</v>
      </c>
    </row>
    <row r="553" spans="1:8" x14ac:dyDescent="0.25">
      <c r="C553" s="132" t="s">
        <v>8</v>
      </c>
      <c r="F553" s="125">
        <f>F548*5.05%</f>
        <v>2162.1216449999997</v>
      </c>
    </row>
    <row r="554" spans="1:8" x14ac:dyDescent="0.25">
      <c r="F554" s="118">
        <f>SUM(F551:F553)</f>
        <v>7001.071645</v>
      </c>
    </row>
    <row r="555" spans="1:8" x14ac:dyDescent="0.25">
      <c r="B555" s="132" t="s">
        <v>4</v>
      </c>
      <c r="C555" s="132" t="s">
        <v>184</v>
      </c>
    </row>
    <row r="556" spans="1:8" x14ac:dyDescent="0.25">
      <c r="C556" s="132" t="s">
        <v>165</v>
      </c>
      <c r="F556" s="125">
        <v>0</v>
      </c>
      <c r="G556" s="125">
        <f>F554-F556</f>
        <v>7001.071645</v>
      </c>
      <c r="H556" s="118">
        <f>SUM(G549:G556)</f>
        <v>49815.361644999997</v>
      </c>
    </row>
    <row r="558" spans="1:8" x14ac:dyDescent="0.25">
      <c r="A558" s="134" t="s">
        <v>129</v>
      </c>
    </row>
    <row r="560" spans="1:8" x14ac:dyDescent="0.25">
      <c r="B560" s="137" t="s">
        <v>127</v>
      </c>
    </row>
    <row r="561" spans="2:10" x14ac:dyDescent="0.25">
      <c r="B561" s="132" t="s">
        <v>2</v>
      </c>
      <c r="F561" s="118">
        <v>6597557.1900000004</v>
      </c>
      <c r="I561" s="118"/>
    </row>
    <row r="562" spans="2:10" x14ac:dyDescent="0.25">
      <c r="B562" s="132" t="s">
        <v>3</v>
      </c>
      <c r="C562" s="132" t="s">
        <v>263</v>
      </c>
    </row>
    <row r="563" spans="2:10" x14ac:dyDescent="0.25">
      <c r="C563" s="132" t="s">
        <v>264</v>
      </c>
      <c r="F563" s="118">
        <f>'[1]Inc. Exp'!$F$40</f>
        <v>0</v>
      </c>
    </row>
    <row r="564" spans="2:10" x14ac:dyDescent="0.25">
      <c r="B564" s="132" t="s">
        <v>3</v>
      </c>
      <c r="C564" s="132" t="s">
        <v>115</v>
      </c>
      <c r="F564" s="118">
        <v>0</v>
      </c>
    </row>
    <row r="566" spans="2:10" x14ac:dyDescent="0.25">
      <c r="B566" s="132" t="s">
        <v>4</v>
      </c>
      <c r="C566" s="137" t="s">
        <v>247</v>
      </c>
      <c r="F566" s="118">
        <v>0</v>
      </c>
      <c r="G566" s="132"/>
    </row>
    <row r="567" spans="2:10" x14ac:dyDescent="0.25">
      <c r="B567" s="132" t="s">
        <v>109</v>
      </c>
      <c r="C567" s="132" t="s">
        <v>227</v>
      </c>
      <c r="F567" s="118">
        <v>0</v>
      </c>
      <c r="G567" s="132"/>
    </row>
    <row r="568" spans="2:10" x14ac:dyDescent="0.25">
      <c r="C568" s="132" t="s">
        <v>179</v>
      </c>
      <c r="F568" s="118">
        <v>0</v>
      </c>
      <c r="G568" s="132"/>
    </row>
    <row r="569" spans="2:10" x14ac:dyDescent="0.25">
      <c r="B569" s="132" t="s">
        <v>331</v>
      </c>
      <c r="C569" s="132" t="s">
        <v>337</v>
      </c>
      <c r="F569" s="125"/>
      <c r="G569" s="118">
        <f>F561-F569+F568+F563</f>
        <v>6597557.1900000004</v>
      </c>
    </row>
    <row r="571" spans="2:10" x14ac:dyDescent="0.25">
      <c r="B571" s="137" t="s">
        <v>128</v>
      </c>
    </row>
    <row r="572" spans="2:10" x14ac:dyDescent="0.25">
      <c r="B572" s="132" t="s">
        <v>2</v>
      </c>
      <c r="F572" s="118">
        <v>661963.31999999995</v>
      </c>
      <c r="I572" s="136"/>
      <c r="J572" s="136"/>
    </row>
    <row r="573" spans="2:10" x14ac:dyDescent="0.25">
      <c r="B573" s="132" t="s">
        <v>3</v>
      </c>
      <c r="C573" s="137" t="s">
        <v>6</v>
      </c>
      <c r="F573" s="118">
        <v>0</v>
      </c>
    </row>
    <row r="574" spans="2:10" x14ac:dyDescent="0.25">
      <c r="C574" s="132" t="s">
        <v>8</v>
      </c>
      <c r="F574" s="125"/>
    </row>
    <row r="575" spans="2:10" x14ac:dyDescent="0.25">
      <c r="F575" s="118">
        <f>F572+F573+F574</f>
        <v>661963.31999999995</v>
      </c>
    </row>
    <row r="576" spans="2:10" x14ac:dyDescent="0.25">
      <c r="B576" s="132" t="s">
        <v>4</v>
      </c>
      <c r="C576" s="137" t="s">
        <v>5</v>
      </c>
      <c r="F576" s="125">
        <v>0</v>
      </c>
    </row>
    <row r="577" spans="2:19" x14ac:dyDescent="0.25">
      <c r="F577" s="118">
        <f>F575-F576</f>
        <v>661963.31999999995</v>
      </c>
    </row>
    <row r="578" spans="2:19" x14ac:dyDescent="0.25">
      <c r="B578" s="132" t="s">
        <v>4</v>
      </c>
      <c r="C578" s="132" t="s">
        <v>184</v>
      </c>
    </row>
    <row r="579" spans="2:19" x14ac:dyDescent="0.25">
      <c r="C579" s="132" t="s">
        <v>165</v>
      </c>
      <c r="F579" s="125">
        <v>0</v>
      </c>
      <c r="G579" s="125">
        <f>F577+F579</f>
        <v>661963.31999999995</v>
      </c>
      <c r="H579" s="118">
        <f>SUM(G569:G579)</f>
        <v>7259520.5100000007</v>
      </c>
    </row>
    <row r="581" spans="2:19" x14ac:dyDescent="0.25">
      <c r="B581" s="137" t="s">
        <v>167</v>
      </c>
    </row>
    <row r="582" spans="2:19" x14ac:dyDescent="0.25">
      <c r="B582" s="132" t="s">
        <v>2</v>
      </c>
      <c r="F582" s="118">
        <v>1803814.84</v>
      </c>
    </row>
    <row r="583" spans="2:19" x14ac:dyDescent="0.25">
      <c r="B583" s="132" t="s">
        <v>109</v>
      </c>
      <c r="C583" s="132" t="s">
        <v>227</v>
      </c>
    </row>
    <row r="584" spans="2:19" x14ac:dyDescent="0.25">
      <c r="C584" s="132" t="s">
        <v>179</v>
      </c>
      <c r="F584" s="118">
        <v>0</v>
      </c>
    </row>
    <row r="585" spans="2:19" x14ac:dyDescent="0.25">
      <c r="B585" s="132" t="s">
        <v>244</v>
      </c>
      <c r="C585" s="137" t="s">
        <v>294</v>
      </c>
    </row>
    <row r="586" spans="2:19" x14ac:dyDescent="0.25">
      <c r="F586" s="125"/>
      <c r="G586" s="125">
        <f>F582+F584-F585</f>
        <v>1803814.84</v>
      </c>
    </row>
    <row r="588" spans="2:19" x14ac:dyDescent="0.25">
      <c r="B588" s="137" t="s">
        <v>245</v>
      </c>
    </row>
    <row r="589" spans="2:19" x14ac:dyDescent="0.25">
      <c r="B589" s="132" t="s">
        <v>2</v>
      </c>
      <c r="F589" s="118">
        <v>-678361.21</v>
      </c>
    </row>
    <row r="590" spans="2:19" x14ac:dyDescent="0.25">
      <c r="B590" s="132" t="s">
        <v>3</v>
      </c>
      <c r="C590" s="137" t="s">
        <v>6</v>
      </c>
    </row>
    <row r="591" spans="2:19" x14ac:dyDescent="0.25">
      <c r="C591" s="132" t="s">
        <v>8</v>
      </c>
      <c r="F591" s="125"/>
    </row>
    <row r="592" spans="2:19" x14ac:dyDescent="0.25">
      <c r="F592" s="138">
        <f>F589+F590+F591</f>
        <v>-678361.21</v>
      </c>
      <c r="J592" s="137"/>
      <c r="Q592" s="118"/>
      <c r="R592" s="118"/>
      <c r="S592" s="118"/>
    </row>
    <row r="593" spans="2:19" x14ac:dyDescent="0.25">
      <c r="B593" s="132" t="s">
        <v>4</v>
      </c>
      <c r="C593" s="137" t="s">
        <v>338</v>
      </c>
      <c r="F593" s="125"/>
      <c r="Q593" s="118">
        <v>-678361.21</v>
      </c>
      <c r="R593" s="118"/>
      <c r="S593" s="118"/>
    </row>
    <row r="594" spans="2:19" x14ac:dyDescent="0.25">
      <c r="F594" s="118">
        <f>F592-F593</f>
        <v>-678361.21</v>
      </c>
      <c r="K594" s="137"/>
      <c r="Q594" s="118"/>
      <c r="R594" s="118"/>
      <c r="S594" s="118"/>
    </row>
    <row r="595" spans="2:19" x14ac:dyDescent="0.25">
      <c r="B595" s="132" t="s">
        <v>4</v>
      </c>
      <c r="C595" s="132" t="s">
        <v>184</v>
      </c>
      <c r="F595" s="118">
        <v>35964</v>
      </c>
      <c r="Q595" s="125">
        <f>Q586*3.67%</f>
        <v>0</v>
      </c>
      <c r="R595" s="118"/>
      <c r="S595" s="118"/>
    </row>
    <row r="596" spans="2:19" x14ac:dyDescent="0.25">
      <c r="C596" s="132" t="s">
        <v>165</v>
      </c>
      <c r="F596" s="125"/>
      <c r="G596" s="118">
        <f>F594-F596-F595</f>
        <v>-714325.21</v>
      </c>
      <c r="H596" s="118">
        <f>G586+G596</f>
        <v>1089489.6300000001</v>
      </c>
      <c r="Q596" s="138">
        <f>Q593+Q594+Q595</f>
        <v>-678361.21</v>
      </c>
      <c r="R596" s="118"/>
      <c r="S596" s="118"/>
    </row>
    <row r="597" spans="2:19" x14ac:dyDescent="0.25">
      <c r="K597" s="137"/>
      <c r="Q597" s="125"/>
      <c r="R597" s="118"/>
      <c r="S597" s="118"/>
    </row>
    <row r="598" spans="2:19" x14ac:dyDescent="0.25">
      <c r="B598" s="137" t="s">
        <v>40</v>
      </c>
      <c r="Q598" s="118">
        <f>Q596-Q597</f>
        <v>-678361.21</v>
      </c>
      <c r="R598" s="118"/>
      <c r="S598" s="118"/>
    </row>
    <row r="599" spans="2:19" x14ac:dyDescent="0.25">
      <c r="B599" s="132" t="s">
        <v>2</v>
      </c>
      <c r="F599" s="118">
        <v>160841.93</v>
      </c>
      <c r="Q599" s="118"/>
      <c r="R599" s="118"/>
      <c r="S599" s="118"/>
    </row>
    <row r="600" spans="2:19" x14ac:dyDescent="0.25">
      <c r="B600" s="132" t="s">
        <v>3</v>
      </c>
      <c r="C600" s="132" t="s">
        <v>227</v>
      </c>
      <c r="Q600" s="125"/>
      <c r="R600" s="118">
        <f>Q598-Q600</f>
        <v>-678361.21</v>
      </c>
      <c r="S600" s="118">
        <f>R590+R600</f>
        <v>-678361.21</v>
      </c>
    </row>
    <row r="601" spans="2:19" x14ac:dyDescent="0.25">
      <c r="C601" s="132" t="s">
        <v>179</v>
      </c>
      <c r="F601" s="118">
        <v>0</v>
      </c>
    </row>
    <row r="602" spans="2:19" x14ac:dyDescent="0.25">
      <c r="B602" s="132" t="s">
        <v>4</v>
      </c>
      <c r="C602" s="137" t="s">
        <v>338</v>
      </c>
      <c r="F602" s="125">
        <v>0</v>
      </c>
      <c r="G602" s="125">
        <f>F599-F602+F601</f>
        <v>160841.93</v>
      </c>
    </row>
    <row r="603" spans="2:19" x14ac:dyDescent="0.25">
      <c r="C603" s="137"/>
      <c r="F603" s="128"/>
      <c r="G603" s="128"/>
    </row>
    <row r="604" spans="2:19" x14ac:dyDescent="0.25">
      <c r="B604" s="137" t="s">
        <v>571</v>
      </c>
    </row>
    <row r="605" spans="2:19" x14ac:dyDescent="0.25">
      <c r="B605" s="132" t="s">
        <v>2</v>
      </c>
      <c r="F605" s="118">
        <v>-90516.29</v>
      </c>
    </row>
    <row r="606" spans="2:19" x14ac:dyDescent="0.25">
      <c r="B606" s="132" t="s">
        <v>3</v>
      </c>
      <c r="C606" s="137" t="s">
        <v>6</v>
      </c>
    </row>
    <row r="607" spans="2:19" x14ac:dyDescent="0.25">
      <c r="C607" s="132" t="s">
        <v>8</v>
      </c>
      <c r="F607" s="125"/>
    </row>
    <row r="608" spans="2:19" x14ac:dyDescent="0.25">
      <c r="F608" s="138">
        <f>F605+F606+F607</f>
        <v>-90516.29</v>
      </c>
    </row>
    <row r="609" spans="2:8" x14ac:dyDescent="0.25">
      <c r="B609" s="132" t="s">
        <v>4</v>
      </c>
      <c r="C609" s="137" t="s">
        <v>338</v>
      </c>
      <c r="F609" s="125"/>
    </row>
    <row r="610" spans="2:8" x14ac:dyDescent="0.25">
      <c r="F610" s="118">
        <f>F608-F609</f>
        <v>-90516.29</v>
      </c>
    </row>
    <row r="611" spans="2:8" x14ac:dyDescent="0.25">
      <c r="B611" s="132" t="s">
        <v>4</v>
      </c>
      <c r="C611" s="132" t="s">
        <v>184</v>
      </c>
    </row>
    <row r="612" spans="2:8" x14ac:dyDescent="0.25">
      <c r="C612" s="132" t="s">
        <v>165</v>
      </c>
      <c r="F612" s="125"/>
      <c r="G612" s="118">
        <f>F610-F612</f>
        <v>-90516.29</v>
      </c>
      <c r="H612" s="118">
        <f>G602+G612</f>
        <v>70325.64</v>
      </c>
    </row>
    <row r="613" spans="2:8" x14ac:dyDescent="0.25">
      <c r="C613" s="137"/>
      <c r="F613" s="128"/>
      <c r="G613" s="128"/>
    </row>
    <row r="614" spans="2:8" x14ac:dyDescent="0.25">
      <c r="C614" s="137"/>
      <c r="F614" s="128"/>
      <c r="G614" s="128"/>
    </row>
    <row r="616" spans="2:8" x14ac:dyDescent="0.25">
      <c r="B616" s="137" t="s">
        <v>313</v>
      </c>
    </row>
    <row r="617" spans="2:8" x14ac:dyDescent="0.25">
      <c r="B617" s="132" t="s">
        <v>2</v>
      </c>
      <c r="F617" s="118">
        <v>148205.98000000001</v>
      </c>
    </row>
    <row r="618" spans="2:8" x14ac:dyDescent="0.25">
      <c r="B618" s="132" t="s">
        <v>3</v>
      </c>
      <c r="C618" s="132" t="s">
        <v>263</v>
      </c>
    </row>
    <row r="619" spans="2:8" x14ac:dyDescent="0.25">
      <c r="C619" s="132" t="s">
        <v>314</v>
      </c>
    </row>
    <row r="620" spans="2:8" x14ac:dyDescent="0.25">
      <c r="B620" s="132" t="s">
        <v>3</v>
      </c>
      <c r="C620" s="132" t="s">
        <v>115</v>
      </c>
      <c r="F620" s="118">
        <v>0</v>
      </c>
    </row>
    <row r="621" spans="2:8" x14ac:dyDescent="0.25">
      <c r="B621" s="132" t="s">
        <v>4</v>
      </c>
      <c r="C621" s="137" t="s">
        <v>247</v>
      </c>
      <c r="F621" s="118">
        <v>0</v>
      </c>
      <c r="G621" s="132"/>
    </row>
    <row r="622" spans="2:8" x14ac:dyDescent="0.25">
      <c r="C622" s="137"/>
      <c r="F622" s="125"/>
      <c r="G622" s="142">
        <f>F619+F620-F621+F617</f>
        <v>148205.98000000001</v>
      </c>
    </row>
    <row r="623" spans="2:8" x14ac:dyDescent="0.25">
      <c r="B623" s="137" t="s">
        <v>315</v>
      </c>
    </row>
    <row r="624" spans="2:8" x14ac:dyDescent="0.25">
      <c r="B624" s="132" t="s">
        <v>2</v>
      </c>
      <c r="F624" s="118">
        <v>16750.5</v>
      </c>
    </row>
    <row r="625" spans="2:9" x14ac:dyDescent="0.25">
      <c r="B625" s="132" t="s">
        <v>3</v>
      </c>
      <c r="C625" s="137" t="s">
        <v>6</v>
      </c>
      <c r="F625" s="129"/>
    </row>
    <row r="626" spans="2:9" x14ac:dyDescent="0.25">
      <c r="C626" s="132" t="s">
        <v>8</v>
      </c>
      <c r="F626" s="125"/>
    </row>
    <row r="627" spans="2:9" x14ac:dyDescent="0.25">
      <c r="F627" s="118">
        <f>SUM(F624:F626)</f>
        <v>16750.5</v>
      </c>
    </row>
    <row r="628" spans="2:9" x14ac:dyDescent="0.25">
      <c r="B628" s="132" t="s">
        <v>4</v>
      </c>
      <c r="C628" s="137" t="s">
        <v>5</v>
      </c>
      <c r="F628" s="125">
        <v>0</v>
      </c>
    </row>
    <row r="629" spans="2:9" x14ac:dyDescent="0.25">
      <c r="F629" s="118">
        <f>F627-F628</f>
        <v>16750.5</v>
      </c>
    </row>
    <row r="630" spans="2:9" x14ac:dyDescent="0.25">
      <c r="B630" s="132" t="s">
        <v>4</v>
      </c>
      <c r="C630" s="132" t="s">
        <v>184</v>
      </c>
    </row>
    <row r="631" spans="2:9" x14ac:dyDescent="0.25">
      <c r="C631" s="132" t="s">
        <v>165</v>
      </c>
      <c r="F631" s="125">
        <v>0</v>
      </c>
      <c r="G631" s="125">
        <f>F629-F631</f>
        <v>16750.5</v>
      </c>
      <c r="H631" s="118">
        <f>G622+G631</f>
        <v>164956.48000000001</v>
      </c>
    </row>
    <row r="634" spans="2:9" x14ac:dyDescent="0.25">
      <c r="B634" s="137" t="s">
        <v>358</v>
      </c>
    </row>
    <row r="635" spans="2:9" x14ac:dyDescent="0.25">
      <c r="B635" s="132" t="s">
        <v>2</v>
      </c>
      <c r="F635" s="118">
        <v>1263048.45</v>
      </c>
      <c r="I635" s="118">
        <v>359454.67</v>
      </c>
    </row>
    <row r="636" spans="2:9" x14ac:dyDescent="0.25">
      <c r="B636" s="132" t="s">
        <v>3</v>
      </c>
      <c r="C636" s="132" t="s">
        <v>263</v>
      </c>
    </row>
    <row r="637" spans="2:9" x14ac:dyDescent="0.25">
      <c r="C637" s="132" t="s">
        <v>314</v>
      </c>
    </row>
    <row r="638" spans="2:9" x14ac:dyDescent="0.25">
      <c r="B638" s="132" t="s">
        <v>3</v>
      </c>
      <c r="C638" s="132" t="s">
        <v>115</v>
      </c>
    </row>
    <row r="640" spans="2:9" x14ac:dyDescent="0.25">
      <c r="B640" s="132" t="s">
        <v>4</v>
      </c>
      <c r="C640" s="137" t="s">
        <v>247</v>
      </c>
      <c r="F640" s="125">
        <v>0</v>
      </c>
      <c r="G640" s="142">
        <f>F635+F636</f>
        <v>1263048.45</v>
      </c>
    </row>
    <row r="641" spans="2:10" x14ac:dyDescent="0.25">
      <c r="C641" s="137"/>
    </row>
    <row r="642" spans="2:10" x14ac:dyDescent="0.25">
      <c r="B642" s="137" t="s">
        <v>326</v>
      </c>
      <c r="C642" s="137"/>
    </row>
    <row r="643" spans="2:10" x14ac:dyDescent="0.25">
      <c r="B643" s="132" t="s">
        <v>2</v>
      </c>
      <c r="F643" s="118">
        <v>-903593.77</v>
      </c>
    </row>
    <row r="644" spans="2:10" x14ac:dyDescent="0.25">
      <c r="B644" s="132" t="s">
        <v>3</v>
      </c>
      <c r="C644" s="137" t="s">
        <v>6</v>
      </c>
    </row>
    <row r="645" spans="2:10" x14ac:dyDescent="0.25">
      <c r="C645" s="132" t="s">
        <v>8</v>
      </c>
      <c r="F645" s="125"/>
    </row>
    <row r="646" spans="2:10" x14ac:dyDescent="0.25">
      <c r="F646" s="118">
        <f>SUM(F643:F645)</f>
        <v>-903593.77</v>
      </c>
    </row>
    <row r="647" spans="2:10" x14ac:dyDescent="0.25">
      <c r="B647" s="132" t="s">
        <v>4</v>
      </c>
      <c r="C647" s="137" t="s">
        <v>5</v>
      </c>
      <c r="F647" s="125"/>
    </row>
    <row r="648" spans="2:10" x14ac:dyDescent="0.25">
      <c r="F648" s="118">
        <f>F646-F647</f>
        <v>-903593.77</v>
      </c>
    </row>
    <row r="649" spans="2:10" x14ac:dyDescent="0.25">
      <c r="B649" s="132" t="s">
        <v>4</v>
      </c>
      <c r="C649" s="132" t="s">
        <v>184</v>
      </c>
    </row>
    <row r="650" spans="2:10" x14ac:dyDescent="0.25">
      <c r="C650" s="132" t="s">
        <v>165</v>
      </c>
      <c r="F650" s="125">
        <v>0</v>
      </c>
      <c r="G650" s="125">
        <f>F648-F650</f>
        <v>-903593.77</v>
      </c>
      <c r="H650" s="118">
        <f>G640+G650</f>
        <v>359454.67999999993</v>
      </c>
      <c r="I650" s="132">
        <v>339749.23</v>
      </c>
      <c r="J650" s="138">
        <f>H650-I650</f>
        <v>19705.449999999953</v>
      </c>
    </row>
    <row r="652" spans="2:10" x14ac:dyDescent="0.25">
      <c r="B652" s="137" t="s">
        <v>324</v>
      </c>
    </row>
    <row r="653" spans="2:10" x14ac:dyDescent="0.25">
      <c r="B653" s="132" t="s">
        <v>2</v>
      </c>
      <c r="F653" s="118">
        <v>2529143</v>
      </c>
    </row>
    <row r="654" spans="2:10" x14ac:dyDescent="0.25">
      <c r="B654" s="132" t="s">
        <v>3</v>
      </c>
      <c r="C654" s="132" t="s">
        <v>263</v>
      </c>
    </row>
    <row r="655" spans="2:10" x14ac:dyDescent="0.25">
      <c r="C655" s="132" t="s">
        <v>314</v>
      </c>
    </row>
    <row r="656" spans="2:10" x14ac:dyDescent="0.25">
      <c r="B656" s="132" t="s">
        <v>3</v>
      </c>
      <c r="C656" s="132" t="s">
        <v>115</v>
      </c>
    </row>
    <row r="658" spans="2:8" x14ac:dyDescent="0.25">
      <c r="B658" s="132" t="s">
        <v>4</v>
      </c>
      <c r="C658" s="137" t="s">
        <v>247</v>
      </c>
      <c r="F658" s="125"/>
      <c r="G658" s="125">
        <f>F653</f>
        <v>2529143</v>
      </c>
    </row>
    <row r="660" spans="2:8" x14ac:dyDescent="0.25">
      <c r="B660" s="137" t="s">
        <v>327</v>
      </c>
    </row>
    <row r="661" spans="2:8" x14ac:dyDescent="0.25">
      <c r="B661" s="132" t="s">
        <v>2</v>
      </c>
      <c r="F661" s="118">
        <v>-1754668.86</v>
      </c>
    </row>
    <row r="662" spans="2:8" x14ac:dyDescent="0.25">
      <c r="B662" s="132" t="s">
        <v>3</v>
      </c>
      <c r="C662" s="137" t="s">
        <v>6</v>
      </c>
    </row>
    <row r="663" spans="2:8" x14ac:dyDescent="0.25">
      <c r="C663" s="132" t="s">
        <v>8</v>
      </c>
      <c r="F663" s="125"/>
    </row>
    <row r="664" spans="2:8" x14ac:dyDescent="0.25">
      <c r="F664" s="118">
        <f>SUM(F661:F663)</f>
        <v>-1754668.86</v>
      </c>
    </row>
    <row r="665" spans="2:8" x14ac:dyDescent="0.25">
      <c r="B665" s="132" t="s">
        <v>4</v>
      </c>
      <c r="C665" s="137" t="s">
        <v>5</v>
      </c>
      <c r="F665" s="125"/>
    </row>
    <row r="666" spans="2:8" x14ac:dyDescent="0.25">
      <c r="F666" s="118">
        <f>F664-F665</f>
        <v>-1754668.86</v>
      </c>
    </row>
    <row r="667" spans="2:8" x14ac:dyDescent="0.25">
      <c r="B667" s="132" t="s">
        <v>4</v>
      </c>
      <c r="C667" s="132" t="s">
        <v>184</v>
      </c>
    </row>
    <row r="668" spans="2:8" x14ac:dyDescent="0.25">
      <c r="C668" s="132" t="s">
        <v>165</v>
      </c>
      <c r="F668" s="125">
        <v>0</v>
      </c>
      <c r="G668" s="125">
        <f>F666-F668</f>
        <v>-1754668.86</v>
      </c>
      <c r="H668" s="118">
        <f>G658+G668</f>
        <v>774474.1399999999</v>
      </c>
    </row>
    <row r="671" spans="2:8" x14ac:dyDescent="0.25">
      <c r="B671" s="137" t="s">
        <v>316</v>
      </c>
    </row>
    <row r="672" spans="2:8" x14ac:dyDescent="0.25">
      <c r="B672" s="132" t="s">
        <v>2</v>
      </c>
      <c r="F672" s="118">
        <v>200331.49</v>
      </c>
    </row>
    <row r="673" spans="2:8" x14ac:dyDescent="0.25">
      <c r="B673" s="132" t="s">
        <v>3</v>
      </c>
      <c r="C673" s="132" t="s">
        <v>263</v>
      </c>
    </row>
    <row r="674" spans="2:8" x14ac:dyDescent="0.25">
      <c r="C674" s="132" t="s">
        <v>314</v>
      </c>
      <c r="F674" s="118">
        <v>0</v>
      </c>
    </row>
    <row r="675" spans="2:8" x14ac:dyDescent="0.25">
      <c r="F675" s="118">
        <v>0</v>
      </c>
    </row>
    <row r="676" spans="2:8" x14ac:dyDescent="0.25">
      <c r="B676" s="137" t="s">
        <v>4</v>
      </c>
      <c r="C676" s="137" t="s">
        <v>294</v>
      </c>
    </row>
    <row r="677" spans="2:8" x14ac:dyDescent="0.25">
      <c r="C677" s="137"/>
      <c r="F677" s="125"/>
      <c r="G677" s="142">
        <f>F672+F674-F676</f>
        <v>200331.49</v>
      </c>
    </row>
    <row r="678" spans="2:8" x14ac:dyDescent="0.25">
      <c r="B678" s="137" t="s">
        <v>317</v>
      </c>
    </row>
    <row r="679" spans="2:8" x14ac:dyDescent="0.25">
      <c r="B679" s="132" t="s">
        <v>2</v>
      </c>
      <c r="F679" s="118">
        <v>22641.81</v>
      </c>
    </row>
    <row r="680" spans="2:8" x14ac:dyDescent="0.25">
      <c r="B680" s="132" t="s">
        <v>3</v>
      </c>
      <c r="C680" s="137" t="s">
        <v>6</v>
      </c>
      <c r="F680" s="129"/>
    </row>
    <row r="681" spans="2:8" x14ac:dyDescent="0.25">
      <c r="C681" s="132" t="s">
        <v>8</v>
      </c>
      <c r="F681" s="125"/>
    </row>
    <row r="682" spans="2:8" x14ac:dyDescent="0.25">
      <c r="F682" s="118">
        <f>SUM(F679:F681)</f>
        <v>22641.81</v>
      </c>
    </row>
    <row r="683" spans="2:8" x14ac:dyDescent="0.25">
      <c r="B683" s="132" t="s">
        <v>4</v>
      </c>
      <c r="C683" s="137" t="s">
        <v>5</v>
      </c>
      <c r="F683" s="125">
        <v>0</v>
      </c>
    </row>
    <row r="684" spans="2:8" x14ac:dyDescent="0.25">
      <c r="F684" s="118">
        <f>F682-F683</f>
        <v>22641.81</v>
      </c>
    </row>
    <row r="685" spans="2:8" x14ac:dyDescent="0.25">
      <c r="B685" s="132" t="s">
        <v>4</v>
      </c>
      <c r="C685" s="132" t="s">
        <v>184</v>
      </c>
    </row>
    <row r="686" spans="2:8" x14ac:dyDescent="0.25">
      <c r="C686" s="132" t="s">
        <v>165</v>
      </c>
      <c r="F686" s="125">
        <v>0</v>
      </c>
      <c r="G686" s="125">
        <f>F684-F686</f>
        <v>22641.81</v>
      </c>
      <c r="H686" s="118">
        <f>G677+G686</f>
        <v>222973.3</v>
      </c>
    </row>
    <row r="689" spans="2:8" x14ac:dyDescent="0.25">
      <c r="B689" s="137" t="s">
        <v>372</v>
      </c>
    </row>
    <row r="690" spans="2:8" x14ac:dyDescent="0.25">
      <c r="B690" s="132" t="s">
        <v>2</v>
      </c>
      <c r="F690" s="118">
        <v>307448.37</v>
      </c>
    </row>
    <row r="691" spans="2:8" x14ac:dyDescent="0.25">
      <c r="B691" s="132" t="s">
        <v>3</v>
      </c>
      <c r="C691" s="137" t="s">
        <v>6</v>
      </c>
    </row>
    <row r="692" spans="2:8" x14ac:dyDescent="0.25">
      <c r="C692" s="137" t="s">
        <v>318</v>
      </c>
    </row>
    <row r="693" spans="2:8" x14ac:dyDescent="0.25">
      <c r="B693" s="132" t="s">
        <v>4</v>
      </c>
      <c r="C693" s="137" t="s">
        <v>5</v>
      </c>
      <c r="F693" s="125"/>
      <c r="G693" s="118">
        <f>F690+F691-F693</f>
        <v>307448.37</v>
      </c>
    </row>
    <row r="695" spans="2:8" x14ac:dyDescent="0.25">
      <c r="B695" s="137" t="s">
        <v>371</v>
      </c>
    </row>
    <row r="696" spans="2:8" x14ac:dyDescent="0.25">
      <c r="B696" s="132" t="s">
        <v>2</v>
      </c>
      <c r="F696" s="118">
        <v>34748.339999999997</v>
      </c>
    </row>
    <row r="697" spans="2:8" x14ac:dyDescent="0.25">
      <c r="B697" s="132" t="s">
        <v>3</v>
      </c>
      <c r="C697" s="137" t="s">
        <v>6</v>
      </c>
      <c r="F697" s="129"/>
    </row>
    <row r="698" spans="2:8" x14ac:dyDescent="0.25">
      <c r="C698" s="132" t="s">
        <v>8</v>
      </c>
      <c r="F698" s="125">
        <f>F690*5.05%</f>
        <v>15526.142684999999</v>
      </c>
    </row>
    <row r="699" spans="2:8" x14ac:dyDescent="0.25">
      <c r="F699" s="118">
        <f>SUM(F696:F698)</f>
        <v>50274.482684999995</v>
      </c>
    </row>
    <row r="700" spans="2:8" x14ac:dyDescent="0.25">
      <c r="B700" s="132" t="s">
        <v>4</v>
      </c>
      <c r="C700" s="137" t="s">
        <v>5</v>
      </c>
      <c r="F700" s="125">
        <v>0</v>
      </c>
    </row>
    <row r="701" spans="2:8" x14ac:dyDescent="0.25">
      <c r="F701" s="118">
        <f>F699-F700</f>
        <v>50274.482684999995</v>
      </c>
    </row>
    <row r="702" spans="2:8" x14ac:dyDescent="0.25">
      <c r="B702" s="132" t="s">
        <v>4</v>
      </c>
      <c r="C702" s="132" t="s">
        <v>184</v>
      </c>
    </row>
    <row r="703" spans="2:8" x14ac:dyDescent="0.25">
      <c r="C703" s="132" t="s">
        <v>165</v>
      </c>
      <c r="F703" s="125">
        <v>0</v>
      </c>
      <c r="G703" s="125">
        <f>F701-F703</f>
        <v>50274.482684999995</v>
      </c>
      <c r="H703" s="118">
        <f>G693+G703</f>
        <v>357722.85268499999</v>
      </c>
    </row>
    <row r="705" spans="2:8" x14ac:dyDescent="0.25">
      <c r="B705" s="137" t="s">
        <v>364</v>
      </c>
    </row>
    <row r="706" spans="2:8" x14ac:dyDescent="0.25">
      <c r="B706" s="132" t="s">
        <v>2</v>
      </c>
      <c r="F706" s="118">
        <v>97765.28</v>
      </c>
    </row>
    <row r="707" spans="2:8" x14ac:dyDescent="0.25">
      <c r="B707" s="132" t="s">
        <v>3</v>
      </c>
      <c r="C707" s="137" t="s">
        <v>6</v>
      </c>
    </row>
    <row r="708" spans="2:8" x14ac:dyDescent="0.25">
      <c r="C708" s="137" t="s">
        <v>318</v>
      </c>
    </row>
    <row r="709" spans="2:8" x14ac:dyDescent="0.25">
      <c r="B709" s="132" t="s">
        <v>4</v>
      </c>
      <c r="C709" s="137" t="s">
        <v>5</v>
      </c>
      <c r="F709" s="125"/>
      <c r="G709" s="118">
        <f>F706+F707-F709</f>
        <v>97765.28</v>
      </c>
    </row>
    <row r="711" spans="2:8" x14ac:dyDescent="0.25">
      <c r="B711" s="137" t="s">
        <v>482</v>
      </c>
    </row>
    <row r="712" spans="2:8" x14ac:dyDescent="0.25">
      <c r="B712" s="132" t="s">
        <v>2</v>
      </c>
      <c r="F712" s="118">
        <v>7449.6</v>
      </c>
    </row>
    <row r="713" spans="2:8" x14ac:dyDescent="0.25">
      <c r="B713" s="132" t="s">
        <v>3</v>
      </c>
      <c r="C713" s="137" t="s">
        <v>6</v>
      </c>
      <c r="F713" s="129"/>
    </row>
    <row r="714" spans="2:8" x14ac:dyDescent="0.25">
      <c r="C714" s="132" t="s">
        <v>8</v>
      </c>
      <c r="F714" s="125">
        <f>4937.14</f>
        <v>4937.1400000000003</v>
      </c>
    </row>
    <row r="715" spans="2:8" x14ac:dyDescent="0.25">
      <c r="F715" s="118">
        <f>SUM(F712:F714)</f>
        <v>12386.740000000002</v>
      </c>
    </row>
    <row r="716" spans="2:8" x14ac:dyDescent="0.25">
      <c r="B716" s="132" t="s">
        <v>4</v>
      </c>
      <c r="C716" s="137" t="s">
        <v>379</v>
      </c>
      <c r="F716" s="125">
        <f>2240+37866</f>
        <v>40106</v>
      </c>
    </row>
    <row r="717" spans="2:8" x14ac:dyDescent="0.25">
      <c r="F717" s="118">
        <f>F715-F716</f>
        <v>-27719.26</v>
      </c>
    </row>
    <row r="718" spans="2:8" x14ac:dyDescent="0.25">
      <c r="B718" s="132" t="s">
        <v>4</v>
      </c>
      <c r="C718" s="132" t="s">
        <v>184</v>
      </c>
    </row>
    <row r="719" spans="2:8" x14ac:dyDescent="0.25">
      <c r="C719" s="132" t="s">
        <v>165</v>
      </c>
      <c r="F719" s="125">
        <v>0</v>
      </c>
      <c r="G719" s="125">
        <f>F717-F719</f>
        <v>-27719.26</v>
      </c>
      <c r="H719" s="118">
        <f>G709+G719</f>
        <v>70046.02</v>
      </c>
    </row>
    <row r="722" spans="2:11" x14ac:dyDescent="0.25">
      <c r="B722" s="137" t="s">
        <v>366</v>
      </c>
    </row>
    <row r="723" spans="2:11" x14ac:dyDescent="0.25">
      <c r="B723" s="132" t="s">
        <v>2</v>
      </c>
      <c r="F723" s="118">
        <v>12671.36</v>
      </c>
      <c r="I723" s="118">
        <v>11976.71254</v>
      </c>
      <c r="J723" s="118"/>
      <c r="K723" s="118"/>
    </row>
    <row r="724" spans="2:11" x14ac:dyDescent="0.25">
      <c r="B724" s="132" t="s">
        <v>3</v>
      </c>
      <c r="C724" s="137" t="s">
        <v>6</v>
      </c>
      <c r="F724" s="129"/>
      <c r="I724" s="129"/>
      <c r="J724" s="118"/>
      <c r="K724" s="118"/>
    </row>
    <row r="725" spans="2:11" x14ac:dyDescent="0.25">
      <c r="C725" s="132" t="s">
        <v>8</v>
      </c>
      <c r="F725" s="125">
        <f>F723*5.05%</f>
        <v>639.90368000000001</v>
      </c>
      <c r="I725" s="125">
        <f>I723*5.8%</f>
        <v>694.64932732</v>
      </c>
      <c r="J725" s="118"/>
      <c r="K725" s="118"/>
    </row>
    <row r="726" spans="2:11" x14ac:dyDescent="0.25">
      <c r="F726" s="118">
        <f>F724+F725+F723</f>
        <v>13311.26368</v>
      </c>
      <c r="I726" s="118">
        <f>I724+I725+I723</f>
        <v>12671.36186732</v>
      </c>
      <c r="J726" s="118"/>
      <c r="K726" s="118"/>
    </row>
    <row r="727" spans="2:11" x14ac:dyDescent="0.25">
      <c r="B727" s="132" t="s">
        <v>4</v>
      </c>
      <c r="C727" s="137" t="s">
        <v>5</v>
      </c>
      <c r="F727" s="125"/>
      <c r="I727" s="125"/>
      <c r="J727" s="118"/>
      <c r="K727" s="118"/>
    </row>
    <row r="728" spans="2:11" x14ac:dyDescent="0.25">
      <c r="F728" s="118">
        <f>F726-F727</f>
        <v>13311.26368</v>
      </c>
      <c r="I728" s="118">
        <f>I726-I727</f>
        <v>12671.36186732</v>
      </c>
      <c r="J728" s="118"/>
      <c r="K728" s="118"/>
    </row>
    <row r="729" spans="2:11" x14ac:dyDescent="0.25">
      <c r="B729" s="132" t="s">
        <v>4</v>
      </c>
      <c r="C729" s="132" t="s">
        <v>184</v>
      </c>
      <c r="I729" s="118"/>
      <c r="J729" s="118"/>
      <c r="K729" s="118"/>
    </row>
    <row r="730" spans="2:11" x14ac:dyDescent="0.25">
      <c r="C730" s="132" t="s">
        <v>165</v>
      </c>
      <c r="F730" s="125"/>
      <c r="G730" s="118">
        <f>F728-F730</f>
        <v>13311.26368</v>
      </c>
      <c r="H730" s="118">
        <f>G730</f>
        <v>13311.26368</v>
      </c>
      <c r="I730" s="125"/>
      <c r="J730" s="118">
        <f>I728-I730</f>
        <v>12671.36186732</v>
      </c>
      <c r="K730" s="118">
        <f>J730</f>
        <v>12671.36186732</v>
      </c>
    </row>
    <row r="731" spans="2:11" x14ac:dyDescent="0.25">
      <c r="B731" s="137"/>
    </row>
    <row r="733" spans="2:11" x14ac:dyDescent="0.25">
      <c r="B733" s="137" t="s">
        <v>369</v>
      </c>
      <c r="F733" s="118" t="s">
        <v>181</v>
      </c>
    </row>
    <row r="734" spans="2:11" x14ac:dyDescent="0.25">
      <c r="B734" s="132" t="s">
        <v>2</v>
      </c>
      <c r="F734" s="118">
        <v>12671.36</v>
      </c>
    </row>
    <row r="735" spans="2:11" x14ac:dyDescent="0.25">
      <c r="B735" s="132" t="s">
        <v>3</v>
      </c>
      <c r="C735" s="137" t="s">
        <v>6</v>
      </c>
      <c r="F735" s="129"/>
    </row>
    <row r="736" spans="2:11" x14ac:dyDescent="0.25">
      <c r="C736" s="132" t="s">
        <v>8</v>
      </c>
      <c r="F736" s="125">
        <f>F734*5.05%</f>
        <v>639.90368000000001</v>
      </c>
    </row>
    <row r="737" spans="2:8" x14ac:dyDescent="0.25">
      <c r="F737" s="118">
        <f>F734+F735+F736</f>
        <v>13311.26368</v>
      </c>
    </row>
    <row r="738" spans="2:8" x14ac:dyDescent="0.25">
      <c r="B738" s="132" t="s">
        <v>4</v>
      </c>
      <c r="C738" s="137" t="s">
        <v>5</v>
      </c>
      <c r="F738" s="125"/>
    </row>
    <row r="739" spans="2:8" x14ac:dyDescent="0.25">
      <c r="F739" s="118">
        <f>F737-F738</f>
        <v>13311.26368</v>
      </c>
    </row>
    <row r="740" spans="2:8" x14ac:dyDescent="0.25">
      <c r="B740" s="132" t="s">
        <v>4</v>
      </c>
      <c r="C740" s="132" t="s">
        <v>184</v>
      </c>
    </row>
    <row r="741" spans="2:8" x14ac:dyDescent="0.25">
      <c r="C741" s="132" t="s">
        <v>165</v>
      </c>
      <c r="F741" s="125"/>
      <c r="G741" s="118">
        <f>F739-F741</f>
        <v>13311.26368</v>
      </c>
      <c r="H741" s="118">
        <f>G741</f>
        <v>13311.26368</v>
      </c>
    </row>
    <row r="742" spans="2:8" x14ac:dyDescent="0.25">
      <c r="F742" s="128"/>
    </row>
    <row r="743" spans="2:8" x14ac:dyDescent="0.25">
      <c r="B743" s="137" t="s">
        <v>483</v>
      </c>
    </row>
    <row r="744" spans="2:8" x14ac:dyDescent="0.25">
      <c r="B744" s="132" t="s">
        <v>2</v>
      </c>
      <c r="F744" s="118">
        <v>529828.16</v>
      </c>
    </row>
    <row r="745" spans="2:8" x14ac:dyDescent="0.25">
      <c r="B745" s="132" t="s">
        <v>3</v>
      </c>
      <c r="C745" s="137" t="s">
        <v>6</v>
      </c>
      <c r="F745" s="118">
        <v>0</v>
      </c>
    </row>
    <row r="746" spans="2:8" x14ac:dyDescent="0.25">
      <c r="C746" s="137" t="s">
        <v>318</v>
      </c>
    </row>
    <row r="747" spans="2:8" x14ac:dyDescent="0.25">
      <c r="B747" s="132" t="s">
        <v>4</v>
      </c>
      <c r="C747" s="137" t="s">
        <v>5</v>
      </c>
      <c r="F747" s="125">
        <v>0</v>
      </c>
      <c r="G747" s="118">
        <f>F744-F747</f>
        <v>529828.16</v>
      </c>
    </row>
    <row r="749" spans="2:8" x14ac:dyDescent="0.25">
      <c r="B749" s="137" t="s">
        <v>484</v>
      </c>
    </row>
    <row r="750" spans="2:8" x14ac:dyDescent="0.25">
      <c r="B750" s="132" t="s">
        <v>2</v>
      </c>
      <c r="F750" s="118">
        <v>57932.09</v>
      </c>
    </row>
    <row r="751" spans="2:8" x14ac:dyDescent="0.25">
      <c r="B751" s="132" t="s">
        <v>3</v>
      </c>
      <c r="C751" s="137" t="s">
        <v>6</v>
      </c>
      <c r="F751" s="129"/>
    </row>
    <row r="752" spans="2:8" x14ac:dyDescent="0.25">
      <c r="C752" s="132" t="s">
        <v>8</v>
      </c>
      <c r="F752" s="125">
        <f>F744*5.05%</f>
        <v>26756.322079999998</v>
      </c>
    </row>
    <row r="753" spans="2:8" x14ac:dyDescent="0.25">
      <c r="F753" s="118">
        <f>SUM(F750:F752)</f>
        <v>84688.412079999995</v>
      </c>
    </row>
    <row r="754" spans="2:8" x14ac:dyDescent="0.25">
      <c r="B754" s="132" t="s">
        <v>4</v>
      </c>
      <c r="C754" s="137" t="s">
        <v>379</v>
      </c>
      <c r="F754" s="125">
        <v>2500</v>
      </c>
    </row>
    <row r="755" spans="2:8" x14ac:dyDescent="0.25">
      <c r="F755" s="118">
        <f>F753-F754</f>
        <v>82188.412079999995</v>
      </c>
    </row>
    <row r="756" spans="2:8" x14ac:dyDescent="0.25">
      <c r="B756" s="132" t="s">
        <v>4</v>
      </c>
      <c r="C756" s="132" t="s">
        <v>184</v>
      </c>
    </row>
    <row r="757" spans="2:8" x14ac:dyDescent="0.25">
      <c r="C757" s="132" t="s">
        <v>165</v>
      </c>
      <c r="F757" s="125">
        <v>0</v>
      </c>
      <c r="G757" s="125">
        <f>F755-F757</f>
        <v>82188.412079999995</v>
      </c>
      <c r="H757" s="118">
        <f>G747+G757</f>
        <v>612016.57208000007</v>
      </c>
    </row>
    <row r="758" spans="2:8" x14ac:dyDescent="0.25">
      <c r="F758" s="128"/>
    </row>
    <row r="759" spans="2:8" x14ac:dyDescent="0.25">
      <c r="B759" s="137" t="s">
        <v>508</v>
      </c>
    </row>
    <row r="760" spans="2:8" x14ac:dyDescent="0.25">
      <c r="B760" s="132" t="s">
        <v>2</v>
      </c>
      <c r="F760" s="118">
        <v>216886.81</v>
      </c>
    </row>
    <row r="761" spans="2:8" x14ac:dyDescent="0.25">
      <c r="B761" s="132" t="s">
        <v>3</v>
      </c>
      <c r="C761" s="137" t="s">
        <v>6</v>
      </c>
    </row>
    <row r="762" spans="2:8" x14ac:dyDescent="0.25">
      <c r="C762" s="137" t="s">
        <v>318</v>
      </c>
    </row>
    <row r="763" spans="2:8" x14ac:dyDescent="0.25">
      <c r="B763" s="132" t="s">
        <v>4</v>
      </c>
      <c r="C763" s="137" t="s">
        <v>5</v>
      </c>
      <c r="F763" s="125"/>
      <c r="G763" s="118">
        <f>F760-F763</f>
        <v>216886.81</v>
      </c>
    </row>
    <row r="765" spans="2:8" x14ac:dyDescent="0.25">
      <c r="B765" s="137" t="s">
        <v>509</v>
      </c>
    </row>
    <row r="766" spans="2:8" x14ac:dyDescent="0.25">
      <c r="B766" s="132" t="s">
        <v>2</v>
      </c>
      <c r="F766" s="118">
        <v>-10055</v>
      </c>
    </row>
    <row r="767" spans="2:8" x14ac:dyDescent="0.25">
      <c r="B767" s="132" t="s">
        <v>3</v>
      </c>
      <c r="C767" s="137" t="s">
        <v>6</v>
      </c>
      <c r="F767" s="129"/>
    </row>
    <row r="768" spans="2:8" x14ac:dyDescent="0.25">
      <c r="C768" s="132" t="s">
        <v>8</v>
      </c>
      <c r="F768" s="125">
        <f>F760*5.05%</f>
        <v>10952.783904999998</v>
      </c>
    </row>
    <row r="769" spans="2:9" x14ac:dyDescent="0.25">
      <c r="F769" s="118">
        <f>F766+F768-0.07</f>
        <v>897.71390499999836</v>
      </c>
    </row>
    <row r="770" spans="2:9" x14ac:dyDescent="0.25">
      <c r="B770" s="132" t="s">
        <v>4</v>
      </c>
      <c r="C770" s="137" t="s">
        <v>379</v>
      </c>
      <c r="F770" s="125">
        <v>10000</v>
      </c>
    </row>
    <row r="771" spans="2:9" x14ac:dyDescent="0.25">
      <c r="F771" s="118">
        <f>F769-F770</f>
        <v>-9102.2860950000013</v>
      </c>
    </row>
    <row r="772" spans="2:9" x14ac:dyDescent="0.25">
      <c r="B772" s="132" t="s">
        <v>4</v>
      </c>
      <c r="C772" s="132" t="s">
        <v>184</v>
      </c>
    </row>
    <row r="773" spans="2:9" x14ac:dyDescent="0.25">
      <c r="C773" s="132" t="s">
        <v>165</v>
      </c>
      <c r="F773" s="125">
        <v>0</v>
      </c>
      <c r="G773" s="125">
        <f>F771-F773</f>
        <v>-9102.2860950000013</v>
      </c>
      <c r="H773" s="118">
        <f>G763+G773</f>
        <v>207784.52390500001</v>
      </c>
    </row>
    <row r="774" spans="2:9" x14ac:dyDescent="0.25">
      <c r="F774" s="128"/>
    </row>
    <row r="775" spans="2:9" x14ac:dyDescent="0.25">
      <c r="B775" s="137" t="s">
        <v>513</v>
      </c>
    </row>
    <row r="776" spans="2:9" x14ac:dyDescent="0.25">
      <c r="B776" s="132" t="s">
        <v>2</v>
      </c>
      <c r="F776" s="118">
        <v>3335874</v>
      </c>
    </row>
    <row r="777" spans="2:9" x14ac:dyDescent="0.25">
      <c r="B777" s="132" t="s">
        <v>3</v>
      </c>
      <c r="C777" s="137" t="s">
        <v>6</v>
      </c>
    </row>
    <row r="778" spans="2:9" x14ac:dyDescent="0.25">
      <c r="C778" s="137" t="s">
        <v>318</v>
      </c>
    </row>
    <row r="779" spans="2:9" x14ac:dyDescent="0.25">
      <c r="B779" s="132" t="s">
        <v>4</v>
      </c>
      <c r="C779" s="137" t="s">
        <v>5</v>
      </c>
      <c r="F779" s="125"/>
      <c r="G779" s="118">
        <f>F776+F777-F779</f>
        <v>3335874</v>
      </c>
    </row>
    <row r="781" spans="2:9" x14ac:dyDescent="0.25">
      <c r="B781" s="137" t="s">
        <v>514</v>
      </c>
    </row>
    <row r="782" spans="2:9" x14ac:dyDescent="0.25">
      <c r="B782" s="132" t="s">
        <v>2</v>
      </c>
      <c r="F782" s="118">
        <v>-16035</v>
      </c>
      <c r="I782" s="136"/>
    </row>
    <row r="783" spans="2:9" x14ac:dyDescent="0.25">
      <c r="B783" s="132" t="s">
        <v>3</v>
      </c>
      <c r="C783" s="137" t="s">
        <v>6</v>
      </c>
      <c r="F783" s="129"/>
    </row>
    <row r="784" spans="2:9" x14ac:dyDescent="0.25">
      <c r="C784" s="132" t="s">
        <v>8</v>
      </c>
      <c r="F784" s="125"/>
    </row>
    <row r="785" spans="2:8" x14ac:dyDescent="0.25">
      <c r="F785" s="118">
        <f>SUM(F782:F784)</f>
        <v>-16035</v>
      </c>
    </row>
    <row r="786" spans="2:8" x14ac:dyDescent="0.25">
      <c r="B786" s="132" t="s">
        <v>4</v>
      </c>
      <c r="C786" s="137" t="s">
        <v>379</v>
      </c>
      <c r="F786" s="125"/>
    </row>
    <row r="787" spans="2:8" x14ac:dyDescent="0.25">
      <c r="F787" s="118">
        <f>F785-F786</f>
        <v>-16035</v>
      </c>
    </row>
    <row r="788" spans="2:8" x14ac:dyDescent="0.25">
      <c r="B788" s="132" t="s">
        <v>4</v>
      </c>
      <c r="C788" s="132" t="s">
        <v>184</v>
      </c>
    </row>
    <row r="789" spans="2:8" x14ac:dyDescent="0.25">
      <c r="C789" s="132" t="s">
        <v>165</v>
      </c>
      <c r="F789" s="125">
        <v>0</v>
      </c>
      <c r="G789" s="125">
        <f>F787-F789</f>
        <v>-16035</v>
      </c>
      <c r="H789" s="118">
        <f>G779+G789</f>
        <v>3319839</v>
      </c>
    </row>
    <row r="790" spans="2:8" x14ac:dyDescent="0.25">
      <c r="F790" s="128"/>
    </row>
    <row r="791" spans="2:8" x14ac:dyDescent="0.25">
      <c r="B791" s="137" t="s">
        <v>521</v>
      </c>
    </row>
    <row r="792" spans="2:8" x14ac:dyDescent="0.25">
      <c r="B792" s="132" t="s">
        <v>2</v>
      </c>
    </row>
    <row r="793" spans="2:8" x14ac:dyDescent="0.25">
      <c r="B793" s="132" t="s">
        <v>3</v>
      </c>
      <c r="C793" s="137" t="s">
        <v>6</v>
      </c>
      <c r="F793" s="124">
        <v>1500000</v>
      </c>
    </row>
    <row r="794" spans="2:8" x14ac:dyDescent="0.25">
      <c r="C794" s="137" t="s">
        <v>318</v>
      </c>
    </row>
    <row r="795" spans="2:8" x14ac:dyDescent="0.25">
      <c r="B795" s="132" t="s">
        <v>4</v>
      </c>
      <c r="C795" s="137" t="s">
        <v>5</v>
      </c>
      <c r="F795" s="125"/>
      <c r="G795" s="118">
        <f>F792+F793-F795</f>
        <v>1500000</v>
      </c>
    </row>
    <row r="797" spans="2:8" x14ac:dyDescent="0.25">
      <c r="B797" s="137" t="s">
        <v>535</v>
      </c>
    </row>
    <row r="798" spans="2:8" x14ac:dyDescent="0.25">
      <c r="B798" s="132" t="s">
        <v>2</v>
      </c>
    </row>
    <row r="799" spans="2:8" x14ac:dyDescent="0.25">
      <c r="B799" s="132" t="s">
        <v>3</v>
      </c>
      <c r="C799" s="137" t="s">
        <v>6</v>
      </c>
      <c r="F799" s="129"/>
    </row>
    <row r="800" spans="2:8" x14ac:dyDescent="0.25">
      <c r="C800" s="132" t="s">
        <v>8</v>
      </c>
      <c r="F800" s="125"/>
    </row>
    <row r="801" spans="2:8" x14ac:dyDescent="0.25">
      <c r="F801" s="118">
        <f>SUM(F798:F800)</f>
        <v>0</v>
      </c>
    </row>
    <row r="802" spans="2:8" x14ac:dyDescent="0.25">
      <c r="B802" s="132" t="s">
        <v>4</v>
      </c>
      <c r="C802" s="137" t="s">
        <v>379</v>
      </c>
      <c r="F802" s="125"/>
    </row>
    <row r="803" spans="2:8" x14ac:dyDescent="0.25">
      <c r="F803" s="118">
        <f>F801-F802</f>
        <v>0</v>
      </c>
    </row>
    <row r="804" spans="2:8" x14ac:dyDescent="0.25">
      <c r="B804" s="132" t="s">
        <v>4</v>
      </c>
      <c r="C804" s="132" t="s">
        <v>184</v>
      </c>
    </row>
    <row r="805" spans="2:8" x14ac:dyDescent="0.25">
      <c r="C805" s="132" t="s">
        <v>165</v>
      </c>
      <c r="F805" s="125">
        <v>0</v>
      </c>
      <c r="G805" s="125">
        <f>F803-F805</f>
        <v>0</v>
      </c>
      <c r="H805" s="118">
        <f>G795+G805</f>
        <v>1500000</v>
      </c>
    </row>
    <row r="806" spans="2:8" x14ac:dyDescent="0.25">
      <c r="F806" s="128"/>
    </row>
    <row r="807" spans="2:8" x14ac:dyDescent="0.25">
      <c r="F807" s="128"/>
    </row>
    <row r="808" spans="2:8" x14ac:dyDescent="0.25">
      <c r="B808" s="137" t="s">
        <v>530</v>
      </c>
    </row>
    <row r="809" spans="2:8" x14ac:dyDescent="0.25">
      <c r="B809" s="132" t="s">
        <v>2</v>
      </c>
    </row>
    <row r="810" spans="2:8" x14ac:dyDescent="0.25">
      <c r="B810" s="132" t="s">
        <v>3</v>
      </c>
      <c r="C810" s="137" t="s">
        <v>6</v>
      </c>
      <c r="F810" s="124">
        <v>975000</v>
      </c>
    </row>
    <row r="811" spans="2:8" x14ac:dyDescent="0.25">
      <c r="B811" s="132" t="s">
        <v>3</v>
      </c>
      <c r="C811" s="137" t="s">
        <v>6</v>
      </c>
      <c r="F811" s="129"/>
    </row>
    <row r="812" spans="2:8" x14ac:dyDescent="0.25">
      <c r="C812" s="132" t="s">
        <v>8</v>
      </c>
      <c r="F812" s="125">
        <v>4923.7</v>
      </c>
      <c r="G812" s="118">
        <f>F810+F812</f>
        <v>979923.7</v>
      </c>
    </row>
    <row r="813" spans="2:8" x14ac:dyDescent="0.25">
      <c r="C813" s="137" t="s">
        <v>318</v>
      </c>
    </row>
    <row r="814" spans="2:8" x14ac:dyDescent="0.25">
      <c r="B814" s="132" t="s">
        <v>4</v>
      </c>
      <c r="C814" s="137" t="s">
        <v>5</v>
      </c>
      <c r="F814" s="125">
        <v>25000</v>
      </c>
      <c r="G814" s="118">
        <f>G812-F814</f>
        <v>954923.7</v>
      </c>
      <c r="H814" s="118">
        <f>G814</f>
        <v>954923.7</v>
      </c>
    </row>
    <row r="815" spans="2:8" x14ac:dyDescent="0.25">
      <c r="F815" s="128"/>
    </row>
    <row r="816" spans="2:8" x14ac:dyDescent="0.25">
      <c r="F816" s="128"/>
    </row>
    <row r="817" spans="2:8" x14ac:dyDescent="0.25">
      <c r="F817" s="128"/>
    </row>
    <row r="818" spans="2:8" x14ac:dyDescent="0.25">
      <c r="B818" s="137" t="s">
        <v>531</v>
      </c>
    </row>
    <row r="819" spans="2:8" x14ac:dyDescent="0.25">
      <c r="B819" s="132" t="s">
        <v>532</v>
      </c>
    </row>
    <row r="820" spans="2:8" x14ac:dyDescent="0.25">
      <c r="B820" s="132" t="s">
        <v>3</v>
      </c>
      <c r="C820" s="137" t="s">
        <v>6</v>
      </c>
      <c r="F820" s="124"/>
    </row>
    <row r="821" spans="2:8" x14ac:dyDescent="0.25">
      <c r="C821" s="137" t="s">
        <v>318</v>
      </c>
    </row>
    <row r="822" spans="2:8" x14ac:dyDescent="0.25">
      <c r="B822" s="132" t="s">
        <v>4</v>
      </c>
      <c r="C822" s="137" t="s">
        <v>5</v>
      </c>
      <c r="F822" s="125">
        <f>77490.02+10100+381959</f>
        <v>469549.02</v>
      </c>
      <c r="G822" s="118">
        <f>F819+F820-F822</f>
        <v>-469549.02</v>
      </c>
    </row>
    <row r="823" spans="2:8" x14ac:dyDescent="0.25">
      <c r="F823" s="125">
        <f>77490.02+10100</f>
        <v>87590.02</v>
      </c>
    </row>
    <row r="824" spans="2:8" x14ac:dyDescent="0.25">
      <c r="B824" s="137" t="s">
        <v>572</v>
      </c>
    </row>
    <row r="825" spans="2:8" x14ac:dyDescent="0.25">
      <c r="B825" s="132" t="s">
        <v>2</v>
      </c>
    </row>
    <row r="826" spans="2:8" x14ac:dyDescent="0.25">
      <c r="B826" s="132" t="s">
        <v>3</v>
      </c>
      <c r="C826" s="137" t="s">
        <v>6</v>
      </c>
      <c r="F826" s="129">
        <v>480000</v>
      </c>
    </row>
    <row r="827" spans="2:8" x14ac:dyDescent="0.25">
      <c r="C827" s="132" t="s">
        <v>8</v>
      </c>
      <c r="F827" s="125"/>
    </row>
    <row r="828" spans="2:8" x14ac:dyDescent="0.25">
      <c r="F828" s="118">
        <f>SUM(F825:F827)</f>
        <v>480000</v>
      </c>
    </row>
    <row r="829" spans="2:8" x14ac:dyDescent="0.25">
      <c r="B829" s="132" t="s">
        <v>4</v>
      </c>
      <c r="C829" s="137" t="s">
        <v>379</v>
      </c>
      <c r="F829" s="125"/>
    </row>
    <row r="830" spans="2:8" x14ac:dyDescent="0.25">
      <c r="F830" s="118">
        <f>F828-F829</f>
        <v>480000</v>
      </c>
    </row>
    <row r="831" spans="2:8" x14ac:dyDescent="0.25">
      <c r="B831" s="132" t="s">
        <v>4</v>
      </c>
      <c r="C831" s="132" t="s">
        <v>184</v>
      </c>
    </row>
    <row r="832" spans="2:8" x14ac:dyDescent="0.25">
      <c r="C832" s="132" t="s">
        <v>165</v>
      </c>
      <c r="F832" s="125"/>
      <c r="G832" s="125">
        <f>F830-F832</f>
        <v>480000</v>
      </c>
      <c r="H832" s="118">
        <f>G822+G832</f>
        <v>10450.979999999981</v>
      </c>
    </row>
    <row r="833" spans="2:8" x14ac:dyDescent="0.25">
      <c r="F833" s="128"/>
    </row>
    <row r="834" spans="2:8" x14ac:dyDescent="0.25">
      <c r="B834" s="137" t="s">
        <v>534</v>
      </c>
    </row>
    <row r="835" spans="2:8" x14ac:dyDescent="0.25">
      <c r="B835" s="132" t="s">
        <v>2</v>
      </c>
    </row>
    <row r="836" spans="2:8" x14ac:dyDescent="0.25">
      <c r="B836" s="132" t="s">
        <v>3</v>
      </c>
      <c r="C836" s="137" t="s">
        <v>6</v>
      </c>
      <c r="F836" s="129">
        <v>100000</v>
      </c>
    </row>
    <row r="837" spans="2:8" x14ac:dyDescent="0.25">
      <c r="C837" s="132" t="s">
        <v>8</v>
      </c>
      <c r="F837" s="125"/>
    </row>
    <row r="838" spans="2:8" x14ac:dyDescent="0.25">
      <c r="F838" s="118">
        <f>SUM(F835:F837)</f>
        <v>100000</v>
      </c>
    </row>
    <row r="839" spans="2:8" x14ac:dyDescent="0.25">
      <c r="B839" s="132" t="s">
        <v>4</v>
      </c>
      <c r="C839" s="137" t="s">
        <v>379</v>
      </c>
      <c r="F839" s="125"/>
    </row>
    <row r="840" spans="2:8" x14ac:dyDescent="0.25">
      <c r="F840" s="118">
        <f>F838-F839</f>
        <v>100000</v>
      </c>
    </row>
    <row r="841" spans="2:8" x14ac:dyDescent="0.25">
      <c r="B841" s="132" t="s">
        <v>4</v>
      </c>
      <c r="C841" s="132" t="s">
        <v>184</v>
      </c>
    </row>
    <row r="842" spans="2:8" x14ac:dyDescent="0.25">
      <c r="C842" s="132" t="s">
        <v>165</v>
      </c>
      <c r="F842" s="125"/>
      <c r="G842" s="125">
        <f>F840-F842</f>
        <v>100000</v>
      </c>
      <c r="H842" s="118">
        <f>G842</f>
        <v>100000</v>
      </c>
    </row>
    <row r="843" spans="2:8" x14ac:dyDescent="0.25">
      <c r="F843" s="128"/>
    </row>
    <row r="844" spans="2:8" x14ac:dyDescent="0.25">
      <c r="B844" s="137" t="s">
        <v>546</v>
      </c>
    </row>
    <row r="845" spans="2:8" x14ac:dyDescent="0.25">
      <c r="B845" s="132" t="s">
        <v>2</v>
      </c>
    </row>
    <row r="846" spans="2:8" x14ac:dyDescent="0.25">
      <c r="B846" s="132" t="s">
        <v>3</v>
      </c>
      <c r="C846" s="137" t="s">
        <v>6</v>
      </c>
      <c r="F846" s="129">
        <f>200000</f>
        <v>200000</v>
      </c>
    </row>
    <row r="847" spans="2:8" x14ac:dyDescent="0.25">
      <c r="C847" s="132" t="s">
        <v>536</v>
      </c>
      <c r="F847" s="125"/>
      <c r="G847" s="125"/>
      <c r="H847" s="118">
        <f>F846</f>
        <v>200000</v>
      </c>
    </row>
    <row r="848" spans="2:8" x14ac:dyDescent="0.25">
      <c r="F848" s="128"/>
    </row>
    <row r="849" spans="2:10" x14ac:dyDescent="0.25">
      <c r="F849" s="128"/>
    </row>
    <row r="850" spans="2:10" x14ac:dyDescent="0.25">
      <c r="B850" s="143" t="s">
        <v>559</v>
      </c>
      <c r="C850" s="143"/>
      <c r="D850" s="143"/>
      <c r="F850" s="128"/>
    </row>
    <row r="851" spans="2:10" x14ac:dyDescent="0.25">
      <c r="B851" s="132" t="s">
        <v>2</v>
      </c>
      <c r="F851" s="128"/>
    </row>
    <row r="852" spans="2:10" x14ac:dyDescent="0.25">
      <c r="B852" s="132" t="s">
        <v>3</v>
      </c>
      <c r="C852" s="132" t="s">
        <v>6</v>
      </c>
      <c r="F852" s="128">
        <v>500000</v>
      </c>
      <c r="G852" s="128"/>
    </row>
    <row r="853" spans="2:10" x14ac:dyDescent="0.25">
      <c r="C853" s="132" t="s">
        <v>536</v>
      </c>
      <c r="F853" s="125"/>
      <c r="G853" s="125"/>
      <c r="H853" s="118">
        <v>500000</v>
      </c>
    </row>
    <row r="854" spans="2:10" ht="18.75" thickBot="1" x14ac:dyDescent="0.3"/>
    <row r="855" spans="2:10" ht="18.75" thickBot="1" x14ac:dyDescent="0.3">
      <c r="H855" s="130">
        <f>SUM(H8:H854)-0.01</f>
        <v>39644358.012840003</v>
      </c>
      <c r="J855" s="136"/>
    </row>
    <row r="856" spans="2:10" x14ac:dyDescent="0.25">
      <c r="I856" s="136">
        <f>H855-38766081.8</f>
        <v>878276.21284000576</v>
      </c>
    </row>
    <row r="859" spans="2:10" x14ac:dyDescent="0.25">
      <c r="I859" s="118"/>
    </row>
  </sheetData>
  <mergeCells count="1">
    <mergeCell ref="C533:E533"/>
  </mergeCells>
  <pageMargins left="0.70866141732283472" right="0.70866141732283472" top="0.74803149606299213" bottom="0.74803149606299213" header="0.31496062992125984" footer="0.31496062992125984"/>
  <pageSetup paperSize="9" scale="63" orientation="portrait" r:id="rId1"/>
  <rowBreaks count="17" manualBreakCount="17">
    <brk id="53" max="7" man="1"/>
    <brk id="97" max="7" man="1"/>
    <brk id="140" max="7" man="1"/>
    <brk id="189" max="7" man="1"/>
    <brk id="230" max="7" man="1"/>
    <brk id="271" max="7" man="1"/>
    <brk id="316" max="7" man="1"/>
    <brk id="383" max="7" man="1"/>
    <brk id="384" max="7" man="1"/>
    <brk id="451" max="7" man="1"/>
    <brk id="503" max="7" man="1"/>
    <brk id="557" max="7" man="1"/>
    <brk id="596" max="7" man="1"/>
    <brk id="631" max="7" man="1"/>
    <brk id="686" max="7" man="1"/>
    <brk id="753" max="7" man="1"/>
    <brk id="790"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1533C-CB15-4FA1-B4C4-F4F0C92A8923}">
  <dimension ref="A1:S872"/>
  <sheetViews>
    <sheetView view="pageBreakPreview" topLeftCell="A519" zoomScale="93" zoomScaleNormal="100" zoomScaleSheetLayoutView="93" workbookViewId="0">
      <selection activeCell="H108" sqref="H108"/>
    </sheetView>
  </sheetViews>
  <sheetFormatPr defaultColWidth="15.85546875" defaultRowHeight="18" x14ac:dyDescent="0.25"/>
  <cols>
    <col min="1" max="1" width="4.7109375" style="132" customWidth="1"/>
    <col min="2" max="2" width="17.7109375" style="132" customWidth="1"/>
    <col min="3" max="4" width="15.5703125" style="132" customWidth="1"/>
    <col min="5" max="5" width="22.5703125" style="132" bestFit="1" customWidth="1"/>
    <col min="6" max="6" width="23.28515625" style="118" bestFit="1" customWidth="1"/>
    <col min="7" max="7" width="20.42578125" style="118" bestFit="1" customWidth="1"/>
    <col min="8" max="8" width="22" style="118" bestFit="1" customWidth="1"/>
    <col min="9" max="9" width="21.28515625" style="132" bestFit="1" customWidth="1"/>
    <col min="10" max="10" width="19.42578125" style="132" bestFit="1" customWidth="1"/>
    <col min="11" max="11" width="16.140625" style="132" bestFit="1" customWidth="1"/>
    <col min="12" max="16" width="15.85546875" style="132"/>
    <col min="17" max="19" width="18.85546875" style="132" bestFit="1" customWidth="1"/>
    <col min="20" max="16384" width="15.85546875" style="132"/>
  </cols>
  <sheetData>
    <row r="1" spans="1:9" x14ac:dyDescent="0.25">
      <c r="G1" s="123"/>
      <c r="H1" s="123"/>
      <c r="I1" s="133"/>
    </row>
    <row r="2" spans="1:9" x14ac:dyDescent="0.25">
      <c r="A2" s="134" t="s">
        <v>105</v>
      </c>
      <c r="D2" s="134" t="s">
        <v>1</v>
      </c>
      <c r="H2" s="124"/>
      <c r="I2" s="135"/>
    </row>
    <row r="4" spans="1:9" x14ac:dyDescent="0.25">
      <c r="A4" s="135" t="s">
        <v>637</v>
      </c>
      <c r="B4" s="135"/>
      <c r="C4" s="135"/>
      <c r="D4" s="135"/>
      <c r="E4" s="135"/>
      <c r="F4" s="135"/>
      <c r="G4" s="135"/>
      <c r="H4" s="135"/>
    </row>
    <row r="5" spans="1:9" x14ac:dyDescent="0.25">
      <c r="A5" s="135"/>
      <c r="B5" s="135"/>
      <c r="C5" s="135"/>
      <c r="D5" s="135"/>
      <c r="E5" s="135"/>
      <c r="F5" s="135"/>
      <c r="G5" s="135"/>
      <c r="H5" s="135"/>
    </row>
    <row r="6" spans="1:9" x14ac:dyDescent="0.25">
      <c r="A6" s="134"/>
      <c r="F6" s="123" t="s">
        <v>275</v>
      </c>
      <c r="G6" s="123" t="s">
        <v>275</v>
      </c>
      <c r="H6" s="123" t="s">
        <v>275</v>
      </c>
      <c r="I6" s="133"/>
    </row>
    <row r="8" spans="1:9" x14ac:dyDescent="0.25">
      <c r="A8" s="134" t="s">
        <v>116</v>
      </c>
    </row>
    <row r="10" spans="1:9" x14ac:dyDescent="0.25">
      <c r="B10" s="137" t="s">
        <v>508</v>
      </c>
    </row>
    <row r="11" spans="1:9" x14ac:dyDescent="0.25">
      <c r="B11" s="132" t="s">
        <v>2</v>
      </c>
      <c r="F11" s="118">
        <v>227839.59</v>
      </c>
    </row>
    <row r="12" spans="1:9" x14ac:dyDescent="0.25">
      <c r="B12" s="132" t="s">
        <v>3</v>
      </c>
      <c r="C12" s="137" t="s">
        <v>6</v>
      </c>
    </row>
    <row r="13" spans="1:9" x14ac:dyDescent="0.25">
      <c r="C13" s="137" t="s">
        <v>318</v>
      </c>
    </row>
    <row r="14" spans="1:9" x14ac:dyDescent="0.25">
      <c r="B14" s="132" t="s">
        <v>4</v>
      </c>
      <c r="C14" s="137" t="s">
        <v>5</v>
      </c>
      <c r="F14" s="125">
        <v>10000</v>
      </c>
      <c r="G14" s="118">
        <f>F11-F14</f>
        <v>217839.59</v>
      </c>
    </row>
    <row r="16" spans="1:9" x14ac:dyDescent="0.25">
      <c r="B16" s="137" t="s">
        <v>509</v>
      </c>
    </row>
    <row r="17" spans="1:10" x14ac:dyDescent="0.25">
      <c r="B17" s="132" t="s">
        <v>2</v>
      </c>
      <c r="F17" s="118">
        <v>-20055</v>
      </c>
    </row>
    <row r="18" spans="1:10" x14ac:dyDescent="0.25">
      <c r="B18" s="132" t="s">
        <v>3</v>
      </c>
      <c r="C18" s="137" t="s">
        <v>6</v>
      </c>
      <c r="F18" s="129"/>
    </row>
    <row r="19" spans="1:10" x14ac:dyDescent="0.25">
      <c r="C19" s="132" t="s">
        <v>8</v>
      </c>
      <c r="F19" s="125"/>
    </row>
    <row r="20" spans="1:10" x14ac:dyDescent="0.25">
      <c r="F20" s="118">
        <f>F17+F19</f>
        <v>-20055</v>
      </c>
    </row>
    <row r="21" spans="1:10" x14ac:dyDescent="0.25">
      <c r="B21" s="132" t="s">
        <v>4</v>
      </c>
      <c r="C21" s="137" t="s">
        <v>379</v>
      </c>
      <c r="F21" s="125">
        <v>3640</v>
      </c>
    </row>
    <row r="22" spans="1:10" x14ac:dyDescent="0.25">
      <c r="F22" s="118">
        <f>F20-F21</f>
        <v>-23695</v>
      </c>
    </row>
    <row r="23" spans="1:10" x14ac:dyDescent="0.25">
      <c r="B23" s="132" t="s">
        <v>4</v>
      </c>
      <c r="C23" s="132" t="s">
        <v>184</v>
      </c>
    </row>
    <row r="24" spans="1:10" x14ac:dyDescent="0.25">
      <c r="C24" s="132" t="s">
        <v>165</v>
      </c>
      <c r="F24" s="125">
        <v>0</v>
      </c>
      <c r="G24" s="125">
        <f>F22-F24</f>
        <v>-23695</v>
      </c>
      <c r="H24" s="118">
        <f>G14+G24</f>
        <v>194144.59</v>
      </c>
    </row>
    <row r="26" spans="1:10" x14ac:dyDescent="0.25">
      <c r="A26" s="134"/>
      <c r="B26" s="137" t="s">
        <v>309</v>
      </c>
      <c r="I26" s="136"/>
    </row>
    <row r="27" spans="1:10" x14ac:dyDescent="0.25">
      <c r="A27" s="134"/>
      <c r="B27" s="132" t="s">
        <v>2</v>
      </c>
      <c r="F27" s="118">
        <v>314175.44</v>
      </c>
      <c r="J27" s="136"/>
    </row>
    <row r="28" spans="1:10" x14ac:dyDescent="0.25">
      <c r="A28" s="134"/>
      <c r="B28" s="132" t="s">
        <v>3</v>
      </c>
      <c r="C28" s="132" t="s">
        <v>6</v>
      </c>
    </row>
    <row r="29" spans="1:10" x14ac:dyDescent="0.25">
      <c r="A29" s="134"/>
      <c r="B29" s="132" t="s">
        <v>3</v>
      </c>
      <c r="C29" s="132" t="s">
        <v>115</v>
      </c>
      <c r="F29" s="125">
        <v>0</v>
      </c>
      <c r="G29" s="118">
        <f>F27+F29+F28</f>
        <v>314175.44</v>
      </c>
      <c r="J29" s="136"/>
    </row>
    <row r="30" spans="1:10" x14ac:dyDescent="0.25">
      <c r="B30" s="137" t="s">
        <v>310</v>
      </c>
      <c r="J30" s="136"/>
    </row>
    <row r="31" spans="1:10" x14ac:dyDescent="0.25">
      <c r="B31" s="132" t="s">
        <v>2</v>
      </c>
      <c r="F31" s="118">
        <v>33801.660000000003</v>
      </c>
    </row>
    <row r="32" spans="1:10" x14ac:dyDescent="0.25">
      <c r="B32" s="132" t="s">
        <v>3</v>
      </c>
      <c r="C32" s="137" t="s">
        <v>6</v>
      </c>
      <c r="F32" s="118">
        <v>0</v>
      </c>
      <c r="J32" s="136"/>
    </row>
    <row r="33" spans="1:10" x14ac:dyDescent="0.25">
      <c r="C33" s="132" t="s">
        <v>7</v>
      </c>
      <c r="F33" s="125"/>
      <c r="I33" s="138"/>
    </row>
    <row r="34" spans="1:10" x14ac:dyDescent="0.25">
      <c r="A34" s="134"/>
      <c r="F34" s="118">
        <f>SUM(F31:F33)</f>
        <v>33801.660000000003</v>
      </c>
      <c r="J34" s="136"/>
    </row>
    <row r="35" spans="1:10" x14ac:dyDescent="0.25">
      <c r="A35" s="134"/>
      <c r="B35" s="132" t="s">
        <v>4</v>
      </c>
      <c r="C35" s="137" t="s">
        <v>375</v>
      </c>
      <c r="F35" s="125">
        <v>3633</v>
      </c>
    </row>
    <row r="36" spans="1:10" x14ac:dyDescent="0.25">
      <c r="A36" s="134"/>
      <c r="F36" s="118">
        <f>F34-F35</f>
        <v>30168.660000000003</v>
      </c>
    </row>
    <row r="37" spans="1:10" x14ac:dyDescent="0.25">
      <c r="B37" s="132" t="s">
        <v>4</v>
      </c>
      <c r="C37" s="132" t="s">
        <v>311</v>
      </c>
    </row>
    <row r="38" spans="1:10" x14ac:dyDescent="0.25">
      <c r="C38" s="132" t="s">
        <v>264</v>
      </c>
      <c r="F38" s="125">
        <v>0</v>
      </c>
      <c r="G38" s="125">
        <f>F36-F38</f>
        <v>30168.660000000003</v>
      </c>
      <c r="H38" s="118">
        <f>SUM(G29:G38)</f>
        <v>344344.1</v>
      </c>
    </row>
    <row r="39" spans="1:10" x14ac:dyDescent="0.25">
      <c r="C39" s="137"/>
      <c r="F39" s="128"/>
      <c r="G39" s="128"/>
      <c r="H39" s="128"/>
    </row>
    <row r="40" spans="1:10" x14ac:dyDescent="0.25">
      <c r="B40" s="137" t="s">
        <v>120</v>
      </c>
      <c r="I40" s="128"/>
      <c r="J40" s="138"/>
    </row>
    <row r="41" spans="1:10" x14ac:dyDescent="0.25">
      <c r="B41" s="132" t="s">
        <v>2</v>
      </c>
      <c r="F41" s="118">
        <v>1890970.54</v>
      </c>
    </row>
    <row r="42" spans="1:10" x14ac:dyDescent="0.25">
      <c r="B42" s="132" t="s">
        <v>3</v>
      </c>
      <c r="C42" s="137" t="s">
        <v>6</v>
      </c>
      <c r="F42" s="118">
        <v>120000</v>
      </c>
    </row>
    <row r="43" spans="1:10" x14ac:dyDescent="0.25">
      <c r="C43" s="137" t="s">
        <v>318</v>
      </c>
    </row>
    <row r="44" spans="1:10" x14ac:dyDescent="0.25">
      <c r="B44" s="132" t="s">
        <v>4</v>
      </c>
      <c r="C44" s="137" t="s">
        <v>5</v>
      </c>
      <c r="F44" s="125">
        <v>75000</v>
      </c>
      <c r="G44" s="118">
        <f>F41+F42-F44</f>
        <v>1935970.54</v>
      </c>
    </row>
    <row r="45" spans="1:10" x14ac:dyDescent="0.25">
      <c r="A45" s="134"/>
      <c r="B45" s="137" t="s">
        <v>119</v>
      </c>
      <c r="J45" s="138"/>
    </row>
    <row r="46" spans="1:10" x14ac:dyDescent="0.25">
      <c r="B46" s="132" t="s">
        <v>2</v>
      </c>
      <c r="F46" s="118">
        <v>4450.09</v>
      </c>
    </row>
    <row r="47" spans="1:10" x14ac:dyDescent="0.25">
      <c r="B47" s="132" t="s">
        <v>3</v>
      </c>
      <c r="C47" s="137" t="s">
        <v>6</v>
      </c>
    </row>
    <row r="48" spans="1:10" x14ac:dyDescent="0.25">
      <c r="C48" s="139" t="s">
        <v>8</v>
      </c>
      <c r="F48" s="125">
        <v>0</v>
      </c>
    </row>
    <row r="49" spans="2:8" x14ac:dyDescent="0.25">
      <c r="C49" s="132" t="s">
        <v>301</v>
      </c>
    </row>
    <row r="50" spans="2:8" x14ac:dyDescent="0.25">
      <c r="C50" s="140"/>
      <c r="F50" s="127">
        <f>F46+F47+F48+F49</f>
        <v>4450.09</v>
      </c>
    </row>
    <row r="51" spans="2:8" x14ac:dyDescent="0.25">
      <c r="B51" s="132" t="s">
        <v>4</v>
      </c>
      <c r="C51" s="137" t="s">
        <v>290</v>
      </c>
      <c r="F51" s="125">
        <v>75000</v>
      </c>
    </row>
    <row r="52" spans="2:8" x14ac:dyDescent="0.25">
      <c r="C52" s="137"/>
      <c r="F52" s="118">
        <f>F50-F51</f>
        <v>-70549.91</v>
      </c>
    </row>
    <row r="53" spans="2:8" x14ac:dyDescent="0.25">
      <c r="B53" s="132" t="s">
        <v>4</v>
      </c>
      <c r="C53" s="132" t="s">
        <v>184</v>
      </c>
    </row>
    <row r="54" spans="2:8" x14ac:dyDescent="0.25">
      <c r="C54" s="132" t="s">
        <v>165</v>
      </c>
      <c r="F54" s="125">
        <v>0</v>
      </c>
      <c r="G54" s="125">
        <f>F52-F54</f>
        <v>-70549.91</v>
      </c>
      <c r="H54" s="118">
        <f>SUM(G41:G54)</f>
        <v>1865420.6300000001</v>
      </c>
    </row>
    <row r="55" spans="2:8" x14ac:dyDescent="0.25">
      <c r="F55" s="128"/>
      <c r="G55" s="128"/>
      <c r="H55" s="128"/>
    </row>
    <row r="56" spans="2:8" x14ac:dyDescent="0.25">
      <c r="B56" s="137" t="s">
        <v>30</v>
      </c>
    </row>
    <row r="57" spans="2:8" x14ac:dyDescent="0.25">
      <c r="B57" s="132" t="s">
        <v>2</v>
      </c>
      <c r="F57" s="118">
        <v>123595.28</v>
      </c>
    </row>
    <row r="58" spans="2:8" x14ac:dyDescent="0.25">
      <c r="B58" s="132" t="s">
        <v>3</v>
      </c>
      <c r="C58" s="132" t="s">
        <v>115</v>
      </c>
      <c r="F58" s="125">
        <v>0</v>
      </c>
      <c r="G58" s="118">
        <f>SUM(F57:F58)</f>
        <v>123595.28</v>
      </c>
    </row>
    <row r="59" spans="2:8" x14ac:dyDescent="0.25">
      <c r="B59" s="137" t="s">
        <v>31</v>
      </c>
    </row>
    <row r="60" spans="2:8" x14ac:dyDescent="0.25">
      <c r="B60" s="132" t="s">
        <v>2</v>
      </c>
      <c r="F60" s="118">
        <v>13297.43</v>
      </c>
    </row>
    <row r="61" spans="2:8" x14ac:dyDescent="0.25">
      <c r="B61" s="132" t="s">
        <v>3</v>
      </c>
      <c r="C61" s="137" t="s">
        <v>6</v>
      </c>
    </row>
    <row r="62" spans="2:8" x14ac:dyDescent="0.25">
      <c r="C62" s="132" t="s">
        <v>8</v>
      </c>
      <c r="F62" s="125"/>
    </row>
    <row r="63" spans="2:8" x14ac:dyDescent="0.25">
      <c r="F63" s="118">
        <f>SUM(F60:F62)</f>
        <v>13297.43</v>
      </c>
    </row>
    <row r="64" spans="2:8" x14ac:dyDescent="0.25">
      <c r="B64" s="132" t="s">
        <v>4</v>
      </c>
      <c r="C64" s="137" t="s">
        <v>377</v>
      </c>
      <c r="F64" s="125">
        <v>3633</v>
      </c>
    </row>
    <row r="65" spans="2:8" x14ac:dyDescent="0.25">
      <c r="F65" s="118">
        <f>F63-F64</f>
        <v>9664.43</v>
      </c>
    </row>
    <row r="66" spans="2:8" x14ac:dyDescent="0.25">
      <c r="B66" s="132" t="s">
        <v>4</v>
      </c>
      <c r="C66" s="132" t="s">
        <v>184</v>
      </c>
    </row>
    <row r="67" spans="2:8" x14ac:dyDescent="0.25">
      <c r="C67" s="132" t="s">
        <v>165</v>
      </c>
      <c r="F67" s="125">
        <v>0</v>
      </c>
      <c r="G67" s="125">
        <f>F65-F67</f>
        <v>9664.43</v>
      </c>
      <c r="H67" s="118">
        <f>SUM(G58:G67)</f>
        <v>133259.71</v>
      </c>
    </row>
    <row r="69" spans="2:8" x14ac:dyDescent="0.25">
      <c r="B69" s="137" t="s">
        <v>42</v>
      </c>
    </row>
    <row r="70" spans="2:8" x14ac:dyDescent="0.25">
      <c r="B70" s="132" t="s">
        <v>2</v>
      </c>
      <c r="F70" s="118">
        <v>92639.01</v>
      </c>
    </row>
    <row r="71" spans="2:8" x14ac:dyDescent="0.25">
      <c r="B71" s="132" t="s">
        <v>3</v>
      </c>
      <c r="C71" s="132" t="s">
        <v>115</v>
      </c>
      <c r="F71" s="125">
        <v>0</v>
      </c>
      <c r="G71" s="118">
        <f>SUM(F70:F71)</f>
        <v>92639.01</v>
      </c>
    </row>
    <row r="72" spans="2:8" x14ac:dyDescent="0.25">
      <c r="B72" s="137" t="s">
        <v>65</v>
      </c>
    </row>
    <row r="73" spans="2:8" x14ac:dyDescent="0.25">
      <c r="B73" s="132" t="s">
        <v>2</v>
      </c>
      <c r="F73" s="118">
        <v>-6966.89</v>
      </c>
    </row>
    <row r="74" spans="2:8" x14ac:dyDescent="0.25">
      <c r="B74" s="132" t="s">
        <v>70</v>
      </c>
      <c r="C74" s="137" t="s">
        <v>6</v>
      </c>
    </row>
    <row r="75" spans="2:8" x14ac:dyDescent="0.25">
      <c r="C75" s="132" t="s">
        <v>8</v>
      </c>
      <c r="F75" s="125">
        <v>0</v>
      </c>
    </row>
    <row r="76" spans="2:8" x14ac:dyDescent="0.25">
      <c r="F76" s="118">
        <f>F75-F73</f>
        <v>6966.89</v>
      </c>
    </row>
    <row r="77" spans="2:8" x14ac:dyDescent="0.25">
      <c r="B77" s="132" t="s">
        <v>4</v>
      </c>
      <c r="C77" s="137" t="s">
        <v>121</v>
      </c>
      <c r="F77" s="125">
        <v>0</v>
      </c>
    </row>
    <row r="78" spans="2:8" x14ac:dyDescent="0.25">
      <c r="F78" s="118">
        <f>F76-F77</f>
        <v>6966.89</v>
      </c>
    </row>
    <row r="79" spans="2:8" x14ac:dyDescent="0.25">
      <c r="B79" s="132" t="s">
        <v>4</v>
      </c>
      <c r="C79" s="132" t="s">
        <v>184</v>
      </c>
    </row>
    <row r="80" spans="2:8" x14ac:dyDescent="0.25">
      <c r="C80" s="132" t="s">
        <v>166</v>
      </c>
      <c r="F80" s="125">
        <v>0</v>
      </c>
      <c r="G80" s="125">
        <f>F78-F80</f>
        <v>6966.89</v>
      </c>
      <c r="H80" s="118">
        <f>SUM(G71:G80)</f>
        <v>99605.9</v>
      </c>
    </row>
    <row r="81" spans="2:8" x14ac:dyDescent="0.25">
      <c r="F81" s="128"/>
      <c r="G81" s="128"/>
      <c r="H81" s="128"/>
    </row>
    <row r="82" spans="2:8" x14ac:dyDescent="0.25">
      <c r="B82" s="137" t="s">
        <v>530</v>
      </c>
    </row>
    <row r="83" spans="2:8" x14ac:dyDescent="0.25">
      <c r="B83" s="132" t="s">
        <v>2</v>
      </c>
    </row>
    <row r="84" spans="2:8" x14ac:dyDescent="0.25">
      <c r="B84" s="132" t="s">
        <v>3</v>
      </c>
      <c r="C84" s="137" t="s">
        <v>6</v>
      </c>
      <c r="F84" s="124">
        <v>979923.7</v>
      </c>
    </row>
    <row r="85" spans="2:8" x14ac:dyDescent="0.25">
      <c r="B85" s="132" t="s">
        <v>3</v>
      </c>
      <c r="C85" s="137" t="s">
        <v>6</v>
      </c>
      <c r="F85" s="129"/>
    </row>
    <row r="86" spans="2:8" x14ac:dyDescent="0.25">
      <c r="C86" s="132" t="s">
        <v>8</v>
      </c>
      <c r="F86" s="125"/>
    </row>
    <row r="87" spans="2:8" x14ac:dyDescent="0.25">
      <c r="C87" s="137" t="s">
        <v>318</v>
      </c>
    </row>
    <row r="88" spans="2:8" x14ac:dyDescent="0.25">
      <c r="B88" s="132" t="s">
        <v>4</v>
      </c>
      <c r="C88" s="137" t="s">
        <v>5</v>
      </c>
      <c r="F88" s="125">
        <v>25000</v>
      </c>
      <c r="G88" s="118">
        <f>F84-F88</f>
        <v>954923.7</v>
      </c>
    </row>
    <row r="89" spans="2:8" x14ac:dyDescent="0.25">
      <c r="C89" s="137"/>
      <c r="F89" s="128"/>
    </row>
    <row r="90" spans="2:8" x14ac:dyDescent="0.25">
      <c r="B90" s="137" t="s">
        <v>65</v>
      </c>
    </row>
    <row r="91" spans="2:8" x14ac:dyDescent="0.25">
      <c r="B91" s="132" t="s">
        <v>2</v>
      </c>
      <c r="F91" s="118">
        <v>-25000</v>
      </c>
    </row>
    <row r="92" spans="2:8" x14ac:dyDescent="0.25">
      <c r="B92" s="132" t="s">
        <v>70</v>
      </c>
      <c r="C92" s="137" t="s">
        <v>6</v>
      </c>
    </row>
    <row r="93" spans="2:8" x14ac:dyDescent="0.25">
      <c r="C93" s="132" t="s">
        <v>8</v>
      </c>
      <c r="F93" s="125">
        <v>0</v>
      </c>
    </row>
    <row r="94" spans="2:8" x14ac:dyDescent="0.25">
      <c r="F94" s="118">
        <f>F93+F91</f>
        <v>-25000</v>
      </c>
    </row>
    <row r="95" spans="2:8" x14ac:dyDescent="0.25">
      <c r="B95" s="132" t="s">
        <v>4</v>
      </c>
      <c r="C95" s="137" t="s">
        <v>121</v>
      </c>
      <c r="F95" s="125">
        <v>0</v>
      </c>
      <c r="H95" s="128"/>
    </row>
    <row r="96" spans="2:8" x14ac:dyDescent="0.25">
      <c r="F96" s="118">
        <f>F94-F95</f>
        <v>-25000</v>
      </c>
      <c r="H96" s="128"/>
    </row>
    <row r="97" spans="2:8" x14ac:dyDescent="0.25">
      <c r="B97" s="132" t="s">
        <v>4</v>
      </c>
      <c r="C97" s="132" t="s">
        <v>184</v>
      </c>
      <c r="H97" s="128"/>
    </row>
    <row r="98" spans="2:8" x14ac:dyDescent="0.25">
      <c r="C98" s="132" t="s">
        <v>166</v>
      </c>
      <c r="F98" s="125">
        <v>0</v>
      </c>
      <c r="G98" s="125">
        <f>F96-F98</f>
        <v>-25000</v>
      </c>
      <c r="H98" s="128">
        <f>G88+G98</f>
        <v>929923.7</v>
      </c>
    </row>
    <row r="99" spans="2:8" x14ac:dyDescent="0.25">
      <c r="F99" s="128"/>
      <c r="G99" s="128"/>
      <c r="H99" s="128"/>
    </row>
    <row r="100" spans="2:8" x14ac:dyDescent="0.25">
      <c r="F100" s="128"/>
      <c r="G100" s="128"/>
      <c r="H100" s="128"/>
    </row>
    <row r="101" spans="2:8" x14ac:dyDescent="0.25">
      <c r="B101" s="137" t="s">
        <v>228</v>
      </c>
    </row>
    <row r="102" spans="2:8" x14ac:dyDescent="0.25">
      <c r="B102" s="132" t="s">
        <v>2</v>
      </c>
      <c r="F102" s="118">
        <v>174598.59</v>
      </c>
    </row>
    <row r="103" spans="2:8" x14ac:dyDescent="0.25">
      <c r="B103" s="132" t="s">
        <v>3</v>
      </c>
      <c r="C103" s="132" t="s">
        <v>115</v>
      </c>
      <c r="F103" s="125"/>
      <c r="G103" s="118">
        <f>SUM(F102:F103)</f>
        <v>174598.59</v>
      </c>
    </row>
    <row r="104" spans="2:8" x14ac:dyDescent="0.25">
      <c r="B104" s="137" t="s">
        <v>180</v>
      </c>
    </row>
    <row r="105" spans="2:8" x14ac:dyDescent="0.25">
      <c r="B105" s="132" t="s">
        <v>2</v>
      </c>
      <c r="F105" s="118">
        <v>18784.8</v>
      </c>
    </row>
    <row r="106" spans="2:8" x14ac:dyDescent="0.25">
      <c r="B106" s="132" t="s">
        <v>3</v>
      </c>
      <c r="C106" s="137" t="s">
        <v>6</v>
      </c>
    </row>
    <row r="107" spans="2:8" x14ac:dyDescent="0.25">
      <c r="C107" s="132" t="s">
        <v>8</v>
      </c>
      <c r="F107" s="125">
        <v>0</v>
      </c>
    </row>
    <row r="108" spans="2:8" x14ac:dyDescent="0.25">
      <c r="F108" s="118">
        <f>F105+F107</f>
        <v>18784.8</v>
      </c>
    </row>
    <row r="109" spans="2:8" x14ac:dyDescent="0.25">
      <c r="B109" s="132" t="s">
        <v>4</v>
      </c>
      <c r="C109" s="137" t="s">
        <v>378</v>
      </c>
    </row>
    <row r="110" spans="2:8" x14ac:dyDescent="0.25">
      <c r="B110" s="132" t="s">
        <v>4</v>
      </c>
      <c r="C110" s="132" t="s">
        <v>184</v>
      </c>
    </row>
    <row r="111" spans="2:8" x14ac:dyDescent="0.25">
      <c r="C111" s="132" t="s">
        <v>165</v>
      </c>
      <c r="F111" s="125"/>
      <c r="G111" s="125">
        <f>F108-F109</f>
        <v>18784.8</v>
      </c>
      <c r="H111" s="118">
        <f>SUM(G103:G111)</f>
        <v>193383.38999999998</v>
      </c>
    </row>
    <row r="112" spans="2:8" x14ac:dyDescent="0.25">
      <c r="F112" s="128"/>
      <c r="G112" s="128"/>
      <c r="H112" s="128"/>
    </row>
    <row r="113" spans="2:8" x14ac:dyDescent="0.25">
      <c r="B113" s="137"/>
      <c r="F113" s="128"/>
      <c r="G113" s="128"/>
      <c r="H113" s="128"/>
    </row>
    <row r="114" spans="2:8" x14ac:dyDescent="0.25">
      <c r="B114" s="137" t="s">
        <v>32</v>
      </c>
    </row>
    <row r="115" spans="2:8" x14ac:dyDescent="0.25">
      <c r="B115" s="132" t="s">
        <v>2</v>
      </c>
      <c r="F115" s="118">
        <v>258449.3</v>
      </c>
    </row>
    <row r="116" spans="2:8" x14ac:dyDescent="0.25">
      <c r="B116" s="132" t="s">
        <v>3</v>
      </c>
      <c r="C116" s="132" t="s">
        <v>115</v>
      </c>
      <c r="F116" s="125">
        <v>0</v>
      </c>
      <c r="G116" s="118">
        <f>F115+F116</f>
        <v>258449.3</v>
      </c>
    </row>
    <row r="117" spans="2:8" x14ac:dyDescent="0.25">
      <c r="B117" s="137" t="s">
        <v>33</v>
      </c>
    </row>
    <row r="118" spans="2:8" x14ac:dyDescent="0.25">
      <c r="B118" s="132" t="s">
        <v>2</v>
      </c>
      <c r="F118" s="118">
        <v>27806.17</v>
      </c>
    </row>
    <row r="119" spans="2:8" x14ac:dyDescent="0.25">
      <c r="B119" s="132" t="s">
        <v>3</v>
      </c>
      <c r="C119" s="137" t="s">
        <v>6</v>
      </c>
    </row>
    <row r="120" spans="2:8" x14ac:dyDescent="0.25">
      <c r="C120" s="132" t="s">
        <v>8</v>
      </c>
      <c r="F120" s="125">
        <v>0</v>
      </c>
    </row>
    <row r="121" spans="2:8" x14ac:dyDescent="0.25">
      <c r="B121" s="132" t="s">
        <v>4</v>
      </c>
      <c r="C121" s="137" t="s">
        <v>113</v>
      </c>
      <c r="F121" s="125">
        <v>3633</v>
      </c>
    </row>
    <row r="122" spans="2:8" x14ac:dyDescent="0.25">
      <c r="F122" s="118">
        <f>F118+F120-F121</f>
        <v>24173.17</v>
      </c>
    </row>
    <row r="123" spans="2:8" x14ac:dyDescent="0.25">
      <c r="B123" s="132" t="s">
        <v>4</v>
      </c>
      <c r="C123" s="132" t="s">
        <v>184</v>
      </c>
    </row>
    <row r="124" spans="2:8" x14ac:dyDescent="0.25">
      <c r="C124" s="132" t="s">
        <v>258</v>
      </c>
      <c r="F124" s="125">
        <v>0</v>
      </c>
      <c r="G124" s="125">
        <f>F122-F124</f>
        <v>24173.17</v>
      </c>
      <c r="H124" s="118">
        <f>SUM(G115:G124)</f>
        <v>282622.46999999997</v>
      </c>
    </row>
    <row r="125" spans="2:8" x14ac:dyDescent="0.25">
      <c r="F125" s="128"/>
      <c r="G125" s="128"/>
      <c r="H125" s="128"/>
    </row>
    <row r="126" spans="2:8" x14ac:dyDescent="0.25">
      <c r="B126" s="137" t="s">
        <v>91</v>
      </c>
    </row>
    <row r="127" spans="2:8" x14ac:dyDescent="0.25">
      <c r="B127" s="132" t="s">
        <v>2</v>
      </c>
      <c r="F127" s="118">
        <v>255393.48</v>
      </c>
    </row>
    <row r="128" spans="2:8" x14ac:dyDescent="0.25">
      <c r="B128" s="132" t="s">
        <v>3</v>
      </c>
      <c r="C128" s="132" t="s">
        <v>6</v>
      </c>
      <c r="F128" s="118">
        <v>0</v>
      </c>
    </row>
    <row r="129" spans="1:9" x14ac:dyDescent="0.25">
      <c r="B129" s="132" t="s">
        <v>3</v>
      </c>
      <c r="C129" s="132" t="s">
        <v>115</v>
      </c>
      <c r="F129" s="125">
        <v>0</v>
      </c>
      <c r="G129" s="118">
        <f>SUM(F127:F129)</f>
        <v>255393.48</v>
      </c>
    </row>
    <row r="130" spans="1:9" x14ac:dyDescent="0.25">
      <c r="B130" s="137" t="s">
        <v>249</v>
      </c>
    </row>
    <row r="131" spans="1:9" x14ac:dyDescent="0.25">
      <c r="B131" s="132" t="s">
        <v>2</v>
      </c>
      <c r="F131" s="118">
        <v>27477.4</v>
      </c>
      <c r="I131" s="138"/>
    </row>
    <row r="132" spans="1:9" x14ac:dyDescent="0.25">
      <c r="B132" s="132" t="s">
        <v>3</v>
      </c>
      <c r="C132" s="137" t="s">
        <v>6</v>
      </c>
    </row>
    <row r="133" spans="1:9" x14ac:dyDescent="0.25">
      <c r="C133" s="132" t="s">
        <v>8</v>
      </c>
      <c r="F133" s="125">
        <v>0</v>
      </c>
    </row>
    <row r="134" spans="1:9" x14ac:dyDescent="0.25">
      <c r="F134" s="118">
        <f>SUM(F131:F133)</f>
        <v>27477.4</v>
      </c>
    </row>
    <row r="135" spans="1:9" x14ac:dyDescent="0.25">
      <c r="B135" s="132" t="s">
        <v>4</v>
      </c>
      <c r="C135" s="137" t="s">
        <v>292</v>
      </c>
      <c r="F135" s="125">
        <v>3633</v>
      </c>
    </row>
    <row r="136" spans="1:9" x14ac:dyDescent="0.25">
      <c r="F136" s="118">
        <f>F134-F135</f>
        <v>23844.400000000001</v>
      </c>
    </row>
    <row r="137" spans="1:9" x14ac:dyDescent="0.25">
      <c r="B137" s="132" t="s">
        <v>4</v>
      </c>
      <c r="C137" s="132" t="s">
        <v>184</v>
      </c>
    </row>
    <row r="138" spans="1:9" x14ac:dyDescent="0.25">
      <c r="C138" s="132" t="s">
        <v>165</v>
      </c>
      <c r="F138" s="125">
        <v>0</v>
      </c>
      <c r="G138" s="125">
        <f>F136-F138</f>
        <v>23844.400000000001</v>
      </c>
      <c r="H138" s="118">
        <f>SUM(G129:G138)</f>
        <v>279237.88</v>
      </c>
    </row>
    <row r="139" spans="1:9" x14ac:dyDescent="0.25">
      <c r="F139" s="128"/>
      <c r="G139" s="128"/>
      <c r="H139" s="128"/>
    </row>
    <row r="140" spans="1:9" x14ac:dyDescent="0.25">
      <c r="B140" s="137" t="s">
        <v>534</v>
      </c>
    </row>
    <row r="141" spans="1:9" x14ac:dyDescent="0.25">
      <c r="B141" s="132" t="s">
        <v>2</v>
      </c>
    </row>
    <row r="142" spans="1:9" x14ac:dyDescent="0.25">
      <c r="A142" s="134"/>
      <c r="B142" s="132" t="s">
        <v>3</v>
      </c>
      <c r="C142" s="137" t="s">
        <v>6</v>
      </c>
      <c r="F142" s="129">
        <v>100000</v>
      </c>
    </row>
    <row r="143" spans="1:9" x14ac:dyDescent="0.25">
      <c r="C143" s="132" t="s">
        <v>8</v>
      </c>
      <c r="F143" s="125"/>
    </row>
    <row r="144" spans="1:9" x14ac:dyDescent="0.25">
      <c r="F144" s="118">
        <f>SUM(F141:F143)</f>
        <v>100000</v>
      </c>
    </row>
    <row r="145" spans="2:8" x14ac:dyDescent="0.25">
      <c r="B145" s="132" t="s">
        <v>4</v>
      </c>
      <c r="C145" s="137" t="s">
        <v>379</v>
      </c>
      <c r="F145" s="125"/>
    </row>
    <row r="146" spans="2:8" x14ac:dyDescent="0.25">
      <c r="F146" s="118">
        <f>F144-F145</f>
        <v>100000</v>
      </c>
    </row>
    <row r="147" spans="2:8" x14ac:dyDescent="0.25">
      <c r="B147" s="132" t="s">
        <v>4</v>
      </c>
      <c r="C147" s="132" t="s">
        <v>184</v>
      </c>
    </row>
    <row r="148" spans="2:8" x14ac:dyDescent="0.25">
      <c r="C148" s="132" t="s">
        <v>165</v>
      </c>
      <c r="F148" s="125"/>
      <c r="G148" s="125">
        <f>F146-F148</f>
        <v>100000</v>
      </c>
      <c r="H148" s="118">
        <f>G148</f>
        <v>100000</v>
      </c>
    </row>
    <row r="149" spans="2:8" x14ac:dyDescent="0.25">
      <c r="F149" s="128"/>
      <c r="G149" s="128"/>
      <c r="H149" s="128"/>
    </row>
    <row r="150" spans="2:8" x14ac:dyDescent="0.25">
      <c r="B150" s="137" t="s">
        <v>597</v>
      </c>
    </row>
    <row r="151" spans="2:8" x14ac:dyDescent="0.25">
      <c r="B151" s="132" t="s">
        <v>2</v>
      </c>
      <c r="F151" s="118">
        <v>200000</v>
      </c>
    </row>
    <row r="152" spans="2:8" x14ac:dyDescent="0.25">
      <c r="B152" s="132" t="s">
        <v>3</v>
      </c>
      <c r="C152" s="132" t="s">
        <v>6</v>
      </c>
      <c r="F152" s="118">
        <v>0</v>
      </c>
    </row>
    <row r="153" spans="2:8" x14ac:dyDescent="0.25">
      <c r="B153" s="132" t="s">
        <v>3</v>
      </c>
      <c r="C153" s="132" t="s">
        <v>115</v>
      </c>
      <c r="F153" s="125">
        <v>0</v>
      </c>
      <c r="G153" s="118">
        <f>SUM(F151:F153)</f>
        <v>200000</v>
      </c>
    </row>
    <row r="154" spans="2:8" x14ac:dyDescent="0.25">
      <c r="B154" s="137" t="s">
        <v>598</v>
      </c>
    </row>
    <row r="155" spans="2:8" x14ac:dyDescent="0.25">
      <c r="B155" s="132" t="s">
        <v>2</v>
      </c>
      <c r="F155" s="118">
        <v>-23633</v>
      </c>
    </row>
    <row r="156" spans="2:8" x14ac:dyDescent="0.25">
      <c r="B156" s="132" t="s">
        <v>3</v>
      </c>
      <c r="C156" s="137" t="s">
        <v>6</v>
      </c>
    </row>
    <row r="157" spans="2:8" x14ac:dyDescent="0.25">
      <c r="C157" s="132" t="s">
        <v>8</v>
      </c>
      <c r="F157" s="125"/>
    </row>
    <row r="158" spans="2:8" x14ac:dyDescent="0.25">
      <c r="F158" s="118">
        <f>SUM(F155:F157)</f>
        <v>-23633</v>
      </c>
    </row>
    <row r="159" spans="2:8" x14ac:dyDescent="0.25">
      <c r="B159" s="132" t="s">
        <v>4</v>
      </c>
      <c r="C159" s="137" t="s">
        <v>292</v>
      </c>
      <c r="F159" s="125"/>
    </row>
    <row r="160" spans="2:8" x14ac:dyDescent="0.25">
      <c r="F160" s="118">
        <f>F158-F159</f>
        <v>-23633</v>
      </c>
    </row>
    <row r="161" spans="2:10" x14ac:dyDescent="0.25">
      <c r="B161" s="132" t="s">
        <v>4</v>
      </c>
      <c r="C161" s="132" t="s">
        <v>184</v>
      </c>
    </row>
    <row r="162" spans="2:10" x14ac:dyDescent="0.25">
      <c r="C162" s="132" t="s">
        <v>165</v>
      </c>
      <c r="F162" s="125">
        <v>0</v>
      </c>
      <c r="G162" s="125">
        <f>F160-F162</f>
        <v>-23633</v>
      </c>
      <c r="H162" s="118">
        <f>SUM(G153:G162)</f>
        <v>176367</v>
      </c>
    </row>
    <row r="163" spans="2:10" x14ac:dyDescent="0.25">
      <c r="C163" s="137"/>
      <c r="F163" s="128"/>
      <c r="G163" s="128"/>
      <c r="H163" s="128"/>
    </row>
    <row r="164" spans="2:10" x14ac:dyDescent="0.25">
      <c r="B164" s="137" t="s">
        <v>66</v>
      </c>
    </row>
    <row r="165" spans="2:10" x14ac:dyDescent="0.25">
      <c r="B165" s="132" t="s">
        <v>2</v>
      </c>
      <c r="F165" s="118">
        <v>552455.87</v>
      </c>
    </row>
    <row r="166" spans="2:10" x14ac:dyDescent="0.25">
      <c r="B166" s="132" t="s">
        <v>3</v>
      </c>
      <c r="C166" s="132" t="s">
        <v>115</v>
      </c>
      <c r="F166" s="125">
        <v>0</v>
      </c>
      <c r="G166" s="118">
        <f>SUM(F165:F166)</f>
        <v>552455.87</v>
      </c>
    </row>
    <row r="167" spans="2:10" x14ac:dyDescent="0.25">
      <c r="B167" s="137" t="s">
        <v>67</v>
      </c>
    </row>
    <row r="168" spans="2:10" x14ac:dyDescent="0.25">
      <c r="B168" s="132" t="s">
        <v>2</v>
      </c>
      <c r="F168" s="118">
        <v>59437.9</v>
      </c>
    </row>
    <row r="169" spans="2:10" x14ac:dyDescent="0.25">
      <c r="B169" s="132" t="s">
        <v>3</v>
      </c>
      <c r="C169" s="137" t="s">
        <v>6</v>
      </c>
      <c r="F169" s="118">
        <v>0</v>
      </c>
      <c r="J169" s="136"/>
    </row>
    <row r="170" spans="2:10" x14ac:dyDescent="0.25">
      <c r="C170" s="132" t="s">
        <v>7</v>
      </c>
      <c r="F170" s="125"/>
    </row>
    <row r="171" spans="2:10" x14ac:dyDescent="0.25">
      <c r="F171" s="118">
        <f>SUM(F168:F170)</f>
        <v>59437.9</v>
      </c>
    </row>
    <row r="172" spans="2:10" x14ac:dyDescent="0.25">
      <c r="B172" s="132" t="s">
        <v>4</v>
      </c>
      <c r="C172" s="137" t="s">
        <v>292</v>
      </c>
      <c r="F172" s="125">
        <v>3633</v>
      </c>
    </row>
    <row r="173" spans="2:10" x14ac:dyDescent="0.25">
      <c r="F173" s="118">
        <f>F171-F172</f>
        <v>55804.9</v>
      </c>
    </row>
    <row r="174" spans="2:10" x14ac:dyDescent="0.25">
      <c r="B174" s="132" t="s">
        <v>4</v>
      </c>
      <c r="C174" s="132" t="s">
        <v>184</v>
      </c>
    </row>
    <row r="175" spans="2:10" x14ac:dyDescent="0.25">
      <c r="C175" s="132" t="s">
        <v>166</v>
      </c>
      <c r="F175" s="125">
        <v>0</v>
      </c>
      <c r="G175" s="125">
        <f>F173-F175</f>
        <v>55804.9</v>
      </c>
      <c r="H175" s="118">
        <f>SUM(G166:G175)</f>
        <v>608260.77</v>
      </c>
    </row>
    <row r="176" spans="2:10" x14ac:dyDescent="0.25">
      <c r="C176" s="137"/>
      <c r="F176" s="128"/>
      <c r="G176" s="128"/>
      <c r="H176" s="128"/>
    </row>
    <row r="177" spans="2:9" x14ac:dyDescent="0.25">
      <c r="B177" s="137" t="s">
        <v>299</v>
      </c>
    </row>
    <row r="178" spans="2:9" x14ac:dyDescent="0.25">
      <c r="B178" s="132" t="s">
        <v>2</v>
      </c>
      <c r="F178" s="118">
        <v>275014.27</v>
      </c>
    </row>
    <row r="179" spans="2:9" x14ac:dyDescent="0.25">
      <c r="B179" s="132" t="s">
        <v>3</v>
      </c>
      <c r="C179" s="132" t="s">
        <v>6</v>
      </c>
    </row>
    <row r="180" spans="2:9" x14ac:dyDescent="0.25">
      <c r="B180" s="132" t="s">
        <v>3</v>
      </c>
      <c r="C180" s="132" t="s">
        <v>115</v>
      </c>
      <c r="F180" s="125">
        <v>0</v>
      </c>
      <c r="G180" s="118">
        <f>F178+F180+F179</f>
        <v>275014.27</v>
      </c>
    </row>
    <row r="181" spans="2:9" x14ac:dyDescent="0.25">
      <c r="B181" s="137" t="s">
        <v>300</v>
      </c>
    </row>
    <row r="182" spans="2:9" x14ac:dyDescent="0.25">
      <c r="B182" s="132" t="s">
        <v>2</v>
      </c>
      <c r="F182" s="118">
        <v>29588.37</v>
      </c>
    </row>
    <row r="183" spans="2:9" x14ac:dyDescent="0.25">
      <c r="B183" s="132" t="s">
        <v>3</v>
      </c>
      <c r="C183" s="137" t="s">
        <v>6</v>
      </c>
    </row>
    <row r="184" spans="2:9" x14ac:dyDescent="0.25">
      <c r="C184" s="132" t="s">
        <v>7</v>
      </c>
      <c r="F184" s="125"/>
    </row>
    <row r="185" spans="2:9" x14ac:dyDescent="0.25">
      <c r="F185" s="118">
        <f>SUM(F182:F184)</f>
        <v>29588.37</v>
      </c>
    </row>
    <row r="186" spans="2:9" x14ac:dyDescent="0.25">
      <c r="B186" s="132" t="s">
        <v>4</v>
      </c>
      <c r="C186" s="137" t="s">
        <v>374</v>
      </c>
      <c r="F186" s="125">
        <v>3633</v>
      </c>
      <c r="I186" s="136"/>
    </row>
    <row r="187" spans="2:9" x14ac:dyDescent="0.25">
      <c r="F187" s="118">
        <f>F185-F186</f>
        <v>25955.37</v>
      </c>
      <c r="I187" s="138"/>
    </row>
    <row r="188" spans="2:9" x14ac:dyDescent="0.25">
      <c r="B188" s="132" t="s">
        <v>4</v>
      </c>
      <c r="C188" s="132" t="s">
        <v>312</v>
      </c>
      <c r="I188" s="136"/>
    </row>
    <row r="189" spans="2:9" x14ac:dyDescent="0.25">
      <c r="C189" s="132" t="s">
        <v>264</v>
      </c>
      <c r="F189" s="125">
        <v>0</v>
      </c>
      <c r="G189" s="125">
        <f>F187+F189</f>
        <v>25955.37</v>
      </c>
      <c r="H189" s="118">
        <f>SUM(G180:G189)</f>
        <v>300969.64</v>
      </c>
    </row>
    <row r="190" spans="2:9" x14ac:dyDescent="0.25">
      <c r="F190" s="128"/>
      <c r="G190" s="128"/>
      <c r="H190" s="128"/>
    </row>
    <row r="191" spans="2:9" x14ac:dyDescent="0.25">
      <c r="B191" s="137" t="s">
        <v>259</v>
      </c>
    </row>
    <row r="192" spans="2:9" x14ac:dyDescent="0.25">
      <c r="B192" s="132" t="s">
        <v>2</v>
      </c>
      <c r="F192" s="118">
        <v>1518521.97</v>
      </c>
    </row>
    <row r="193" spans="2:8" x14ac:dyDescent="0.25">
      <c r="B193" s="132" t="s">
        <v>3</v>
      </c>
      <c r="C193" s="132" t="s">
        <v>115</v>
      </c>
      <c r="F193" s="125">
        <v>0</v>
      </c>
      <c r="G193" s="118">
        <f>F192+F193</f>
        <v>1518521.97</v>
      </c>
    </row>
    <row r="194" spans="2:8" x14ac:dyDescent="0.25">
      <c r="B194" s="137" t="s">
        <v>260</v>
      </c>
    </row>
    <row r="195" spans="2:8" x14ac:dyDescent="0.25">
      <c r="B195" s="132" t="s">
        <v>2</v>
      </c>
      <c r="F195" s="118">
        <v>178031.96</v>
      </c>
    </row>
    <row r="196" spans="2:8" x14ac:dyDescent="0.25">
      <c r="B196" s="132" t="s">
        <v>3</v>
      </c>
      <c r="C196" s="137" t="s">
        <v>6</v>
      </c>
      <c r="F196" s="118">
        <v>0</v>
      </c>
    </row>
    <row r="197" spans="2:8" x14ac:dyDescent="0.25">
      <c r="C197" s="132" t="s">
        <v>7</v>
      </c>
      <c r="F197" s="125">
        <v>0</v>
      </c>
    </row>
    <row r="198" spans="2:8" x14ac:dyDescent="0.25">
      <c r="F198" s="118">
        <f>-F195-F196+F197</f>
        <v>-178031.96</v>
      </c>
    </row>
    <row r="199" spans="2:8" x14ac:dyDescent="0.25">
      <c r="B199" s="132" t="s">
        <v>4</v>
      </c>
      <c r="C199" s="137" t="s">
        <v>191</v>
      </c>
      <c r="F199" s="125"/>
    </row>
    <row r="201" spans="2:8" x14ac:dyDescent="0.25">
      <c r="B201" s="132" t="s">
        <v>4</v>
      </c>
      <c r="C201" s="132" t="s">
        <v>225</v>
      </c>
    </row>
    <row r="202" spans="2:8" x14ac:dyDescent="0.25">
      <c r="C202" s="132" t="s">
        <v>165</v>
      </c>
      <c r="F202" s="125">
        <v>0</v>
      </c>
      <c r="G202" s="125">
        <f>F198-F199</f>
        <v>-178031.96</v>
      </c>
      <c r="H202" s="118">
        <f>SUM(G193:G202)</f>
        <v>1340490.01</v>
      </c>
    </row>
    <row r="203" spans="2:8" x14ac:dyDescent="0.25">
      <c r="F203" s="128"/>
      <c r="G203" s="128"/>
      <c r="H203" s="128"/>
    </row>
    <row r="204" spans="2:8" x14ac:dyDescent="0.25">
      <c r="B204" s="137" t="s">
        <v>246</v>
      </c>
    </row>
    <row r="205" spans="2:8" x14ac:dyDescent="0.25">
      <c r="B205" s="132" t="s">
        <v>2</v>
      </c>
      <c r="F205" s="118">
        <v>360104</v>
      </c>
    </row>
    <row r="206" spans="2:8" x14ac:dyDescent="0.25">
      <c r="B206" s="132" t="s">
        <v>3</v>
      </c>
      <c r="C206" s="132" t="s">
        <v>6</v>
      </c>
      <c r="F206" s="125">
        <v>0</v>
      </c>
      <c r="G206" s="118">
        <f>F205+F206</f>
        <v>360104</v>
      </c>
      <c r="H206" s="118">
        <v>0</v>
      </c>
    </row>
    <row r="208" spans="2:8" x14ac:dyDescent="0.25">
      <c r="B208" s="137" t="s">
        <v>287</v>
      </c>
    </row>
    <row r="209" spans="2:9" x14ac:dyDescent="0.25">
      <c r="B209" s="132" t="s">
        <v>2</v>
      </c>
      <c r="F209" s="118">
        <v>31393.040000000001</v>
      </c>
    </row>
    <row r="210" spans="2:9" x14ac:dyDescent="0.25">
      <c r="B210" s="132" t="s">
        <v>3</v>
      </c>
      <c r="C210" s="137" t="s">
        <v>6</v>
      </c>
    </row>
    <row r="212" spans="2:9" x14ac:dyDescent="0.25">
      <c r="C212" s="132" t="s">
        <v>7</v>
      </c>
      <c r="F212" s="125"/>
    </row>
    <row r="213" spans="2:9" x14ac:dyDescent="0.25">
      <c r="F213" s="127">
        <f>F209+F210+F211+F212</f>
        <v>31393.040000000001</v>
      </c>
    </row>
    <row r="214" spans="2:9" x14ac:dyDescent="0.25">
      <c r="B214" s="132" t="s">
        <v>4</v>
      </c>
      <c r="C214" s="137" t="s">
        <v>113</v>
      </c>
    </row>
    <row r="215" spans="2:9" x14ac:dyDescent="0.25">
      <c r="F215" s="118">
        <f>F213-F214</f>
        <v>31393.040000000001</v>
      </c>
    </row>
    <row r="216" spans="2:9" x14ac:dyDescent="0.25">
      <c r="B216" s="132" t="s">
        <v>4</v>
      </c>
      <c r="C216" s="132" t="s">
        <v>184</v>
      </c>
    </row>
    <row r="217" spans="2:9" x14ac:dyDescent="0.25">
      <c r="C217" s="132" t="s">
        <v>165</v>
      </c>
    </row>
    <row r="218" spans="2:9" x14ac:dyDescent="0.25">
      <c r="F218" s="125">
        <v>0</v>
      </c>
      <c r="G218" s="118">
        <f>F215-F218</f>
        <v>31393.040000000001</v>
      </c>
      <c r="H218" s="118">
        <f>SUM(G206:G218)</f>
        <v>391497.04</v>
      </c>
    </row>
    <row r="220" spans="2:9" x14ac:dyDescent="0.25">
      <c r="F220" s="128"/>
      <c r="G220" s="128"/>
      <c r="H220" s="128"/>
    </row>
    <row r="221" spans="2:9" x14ac:dyDescent="0.25">
      <c r="B221" s="132" t="s">
        <v>603</v>
      </c>
      <c r="F221" s="128"/>
      <c r="G221" s="128"/>
      <c r="H221" s="128">
        <v>-3633</v>
      </c>
      <c r="I221" s="132" t="s">
        <v>613</v>
      </c>
    </row>
    <row r="222" spans="2:9" x14ac:dyDescent="0.25">
      <c r="F222" s="128"/>
      <c r="G222" s="128"/>
      <c r="H222" s="128"/>
    </row>
    <row r="223" spans="2:9" x14ac:dyDescent="0.25">
      <c r="B223" s="137" t="s">
        <v>546</v>
      </c>
    </row>
    <row r="224" spans="2:9" x14ac:dyDescent="0.25">
      <c r="B224" s="132" t="s">
        <v>2</v>
      </c>
    </row>
    <row r="225" spans="2:8" x14ac:dyDescent="0.25">
      <c r="B225" s="132" t="s">
        <v>3</v>
      </c>
      <c r="C225" s="137" t="s">
        <v>6</v>
      </c>
      <c r="F225" s="118">
        <v>200000</v>
      </c>
    </row>
    <row r="226" spans="2:8" x14ac:dyDescent="0.25">
      <c r="C226" s="132" t="s">
        <v>7</v>
      </c>
      <c r="F226" s="125">
        <f>F221*5.05%</f>
        <v>0</v>
      </c>
    </row>
    <row r="227" spans="2:8" x14ac:dyDescent="0.25">
      <c r="F227" s="118">
        <f>SUM(F224:F226)</f>
        <v>200000</v>
      </c>
    </row>
    <row r="228" spans="2:8" x14ac:dyDescent="0.25">
      <c r="B228" s="132" t="s">
        <v>4</v>
      </c>
      <c r="C228" s="137" t="s">
        <v>113</v>
      </c>
      <c r="F228" s="125">
        <v>3633</v>
      </c>
    </row>
    <row r="229" spans="2:8" x14ac:dyDescent="0.25">
      <c r="F229" s="118">
        <f>F227-F228</f>
        <v>196367</v>
      </c>
    </row>
    <row r="230" spans="2:8" x14ac:dyDescent="0.25">
      <c r="B230" s="132" t="s">
        <v>4</v>
      </c>
      <c r="C230" s="132" t="s">
        <v>184</v>
      </c>
    </row>
    <row r="231" spans="2:8" x14ac:dyDescent="0.25">
      <c r="C231" s="132" t="s">
        <v>165</v>
      </c>
      <c r="F231" s="125">
        <v>0</v>
      </c>
      <c r="G231" s="125">
        <f>F229-F231</f>
        <v>196367</v>
      </c>
      <c r="H231" s="118">
        <f>SUM(G222:G231)</f>
        <v>196367</v>
      </c>
    </row>
    <row r="232" spans="2:8" x14ac:dyDescent="0.25">
      <c r="F232" s="128"/>
      <c r="G232" s="128"/>
    </row>
    <row r="233" spans="2:8" x14ac:dyDescent="0.25">
      <c r="F233" s="128"/>
      <c r="G233" s="128"/>
    </row>
    <row r="234" spans="2:8" x14ac:dyDescent="0.25">
      <c r="B234" s="137" t="s">
        <v>599</v>
      </c>
      <c r="F234" s="128"/>
      <c r="G234" s="128"/>
      <c r="H234" s="128">
        <v>500000</v>
      </c>
    </row>
    <row r="235" spans="2:8" x14ac:dyDescent="0.25">
      <c r="F235" s="128"/>
      <c r="G235" s="128"/>
      <c r="H235" s="128"/>
    </row>
    <row r="236" spans="2:8" x14ac:dyDescent="0.25">
      <c r="B236" s="137" t="s">
        <v>600</v>
      </c>
      <c r="F236" s="128"/>
      <c r="G236" s="128"/>
      <c r="H236" s="128">
        <v>-3633</v>
      </c>
    </row>
    <row r="237" spans="2:8" x14ac:dyDescent="0.25">
      <c r="B237" s="137"/>
      <c r="F237" s="128"/>
      <c r="G237" s="128"/>
      <c r="H237" s="128"/>
    </row>
    <row r="238" spans="2:8" x14ac:dyDescent="0.25">
      <c r="B238" s="137" t="s">
        <v>601</v>
      </c>
      <c r="F238" s="128"/>
      <c r="G238" s="128"/>
      <c r="H238" s="128"/>
    </row>
    <row r="239" spans="2:8" x14ac:dyDescent="0.25">
      <c r="C239" s="137"/>
      <c r="F239" s="128"/>
      <c r="G239" s="128"/>
      <c r="H239" s="128"/>
    </row>
    <row r="240" spans="2:8" x14ac:dyDescent="0.25">
      <c r="B240" s="137" t="s">
        <v>602</v>
      </c>
      <c r="F240" s="128"/>
      <c r="G240" s="128"/>
      <c r="H240" s="128"/>
    </row>
    <row r="241" spans="1:11" x14ac:dyDescent="0.25">
      <c r="F241" s="128"/>
      <c r="G241" s="128"/>
      <c r="H241" s="128"/>
    </row>
    <row r="242" spans="1:11" x14ac:dyDescent="0.25">
      <c r="B242" s="137" t="s">
        <v>604</v>
      </c>
      <c r="C242" s="137"/>
      <c r="F242" s="128"/>
      <c r="G242" s="128"/>
      <c r="H242" s="128">
        <v>-203633</v>
      </c>
      <c r="I242" s="187">
        <f>H24+H38+H54+H67+H80+H98+H111+H124+H138+H148+H162+H175+H189+H202+H218+H221+H231+H234+H236+H242</f>
        <v>7724994.8300000001</v>
      </c>
      <c r="J242" s="132">
        <v>7524994.8300000001</v>
      </c>
      <c r="K242" s="132">
        <f>200000-3633-3633</f>
        <v>192734</v>
      </c>
    </row>
    <row r="243" spans="1:11" x14ac:dyDescent="0.25">
      <c r="F243" s="128"/>
      <c r="G243" s="128"/>
      <c r="H243" s="128"/>
      <c r="J243" s="187">
        <f>I242-J242</f>
        <v>200000</v>
      </c>
    </row>
    <row r="244" spans="1:11" x14ac:dyDescent="0.25">
      <c r="F244" s="128"/>
      <c r="G244" s="128"/>
      <c r="H244" s="128"/>
    </row>
    <row r="245" spans="1:11" x14ac:dyDescent="0.25">
      <c r="A245" s="134" t="s">
        <v>605</v>
      </c>
      <c r="F245" s="128"/>
      <c r="G245" s="128"/>
      <c r="H245" s="128"/>
    </row>
    <row r="246" spans="1:11" x14ac:dyDescent="0.25">
      <c r="F246" s="128"/>
      <c r="G246" s="128"/>
      <c r="H246" s="128"/>
    </row>
    <row r="247" spans="1:11" x14ac:dyDescent="0.25">
      <c r="A247" s="137"/>
      <c r="B247" s="137" t="s">
        <v>24</v>
      </c>
    </row>
    <row r="248" spans="1:11" x14ac:dyDescent="0.25">
      <c r="B248" s="132" t="s">
        <v>2</v>
      </c>
      <c r="F248" s="118">
        <v>279645.73</v>
      </c>
    </row>
    <row r="249" spans="1:11" x14ac:dyDescent="0.25">
      <c r="B249" s="132" t="s">
        <v>3</v>
      </c>
      <c r="C249" s="132" t="s">
        <v>115</v>
      </c>
      <c r="F249" s="125"/>
      <c r="G249" s="118">
        <f>SUM(F248:F249)</f>
        <v>279645.73</v>
      </c>
    </row>
    <row r="250" spans="1:11" x14ac:dyDescent="0.25">
      <c r="A250" s="137"/>
      <c r="B250" s="137" t="s">
        <v>25</v>
      </c>
    </row>
    <row r="251" spans="1:11" x14ac:dyDescent="0.25">
      <c r="B251" s="132" t="s">
        <v>2</v>
      </c>
      <c r="F251" s="118">
        <v>30086.67</v>
      </c>
    </row>
    <row r="252" spans="1:11" x14ac:dyDescent="0.25">
      <c r="B252" s="132" t="s">
        <v>3</v>
      </c>
      <c r="C252" s="137" t="s">
        <v>6</v>
      </c>
    </row>
    <row r="253" spans="1:11" x14ac:dyDescent="0.25">
      <c r="C253" s="132" t="s">
        <v>8</v>
      </c>
      <c r="F253" s="125">
        <v>0</v>
      </c>
    </row>
    <row r="254" spans="1:11" x14ac:dyDescent="0.25">
      <c r="F254" s="118">
        <f>SUM(F251:F253)</f>
        <v>30086.67</v>
      </c>
    </row>
    <row r="255" spans="1:11" x14ac:dyDescent="0.25">
      <c r="B255" s="132" t="s">
        <v>4</v>
      </c>
      <c r="C255" s="132" t="s">
        <v>376</v>
      </c>
    </row>
    <row r="256" spans="1:11" x14ac:dyDescent="0.25">
      <c r="B256" s="132" t="s">
        <v>4</v>
      </c>
      <c r="C256" s="137" t="s">
        <v>323</v>
      </c>
      <c r="F256" s="125"/>
    </row>
    <row r="257" spans="2:9" x14ac:dyDescent="0.25">
      <c r="D257" s="137"/>
      <c r="F257" s="118">
        <f>F254-F256-F255</f>
        <v>30086.67</v>
      </c>
    </row>
    <row r="258" spans="2:9" x14ac:dyDescent="0.25">
      <c r="B258" s="132" t="s">
        <v>4</v>
      </c>
      <c r="C258" s="132" t="s">
        <v>184</v>
      </c>
    </row>
    <row r="259" spans="2:9" x14ac:dyDescent="0.25">
      <c r="C259" s="132" t="s">
        <v>166</v>
      </c>
      <c r="F259" s="125"/>
      <c r="G259" s="125">
        <f>F257-F259</f>
        <v>30086.67</v>
      </c>
      <c r="H259" s="118">
        <f>SUM(G249:G259)</f>
        <v>309732.39999999997</v>
      </c>
    </row>
    <row r="260" spans="2:9" x14ac:dyDescent="0.25">
      <c r="B260" s="137"/>
      <c r="F260" s="128"/>
      <c r="G260" s="128"/>
      <c r="H260" s="128"/>
    </row>
    <row r="261" spans="2:9" x14ac:dyDescent="0.25">
      <c r="B261" s="137" t="s">
        <v>36</v>
      </c>
    </row>
    <row r="262" spans="2:9" x14ac:dyDescent="0.25">
      <c r="B262" s="132" t="s">
        <v>2</v>
      </c>
      <c r="F262" s="118">
        <v>1037590.47</v>
      </c>
    </row>
    <row r="263" spans="2:9" x14ac:dyDescent="0.25">
      <c r="B263" s="132" t="s">
        <v>3</v>
      </c>
      <c r="C263" s="132" t="s">
        <v>115</v>
      </c>
      <c r="F263" s="125"/>
      <c r="G263" s="118">
        <f>SUM(F262:F263)</f>
        <v>1037590.47</v>
      </c>
    </row>
    <row r="264" spans="2:9" x14ac:dyDescent="0.25">
      <c r="B264" s="137" t="s">
        <v>37</v>
      </c>
      <c r="I264" s="187">
        <f>H259+H270</f>
        <v>1472768.66</v>
      </c>
    </row>
    <row r="265" spans="2:9" x14ac:dyDescent="0.25">
      <c r="B265" s="132" t="s">
        <v>2</v>
      </c>
      <c r="F265" s="118">
        <v>211632.79</v>
      </c>
    </row>
    <row r="266" spans="2:9" x14ac:dyDescent="0.25">
      <c r="B266" s="132" t="s">
        <v>3</v>
      </c>
      <c r="C266" s="137" t="s">
        <v>6</v>
      </c>
      <c r="E266" s="132" t="s">
        <v>533</v>
      </c>
      <c r="F266" s="118">
        <v>0</v>
      </c>
    </row>
    <row r="267" spans="2:9" x14ac:dyDescent="0.25">
      <c r="C267" s="132" t="s">
        <v>8</v>
      </c>
      <c r="F267" s="125"/>
    </row>
    <row r="268" spans="2:9" x14ac:dyDescent="0.25">
      <c r="F268" s="118">
        <f>F265+F267</f>
        <v>211632.79</v>
      </c>
    </row>
    <row r="269" spans="2:9" x14ac:dyDescent="0.25">
      <c r="B269" s="132" t="s">
        <v>4</v>
      </c>
      <c r="C269" s="137" t="s">
        <v>323</v>
      </c>
      <c r="F269" s="118">
        <v>86187</v>
      </c>
    </row>
    <row r="270" spans="2:9" x14ac:dyDescent="0.25">
      <c r="B270" s="132" t="s">
        <v>4</v>
      </c>
      <c r="C270" s="137" t="s">
        <v>251</v>
      </c>
      <c r="F270" s="125">
        <v>0</v>
      </c>
      <c r="G270" s="125">
        <f>F268-F270-F269+F266</f>
        <v>125445.79000000001</v>
      </c>
      <c r="H270" s="118">
        <f>SUM(G263:G270)</f>
        <v>1163036.26</v>
      </c>
    </row>
    <row r="271" spans="2:9" x14ac:dyDescent="0.25">
      <c r="F271" s="128"/>
      <c r="G271" s="128"/>
      <c r="H271" s="128"/>
    </row>
    <row r="272" spans="2:9" x14ac:dyDescent="0.25">
      <c r="F272" s="128"/>
      <c r="G272" s="128"/>
      <c r="H272" s="128"/>
    </row>
    <row r="273" spans="1:8" x14ac:dyDescent="0.25">
      <c r="A273" s="134" t="s">
        <v>606</v>
      </c>
      <c r="B273" s="137"/>
      <c r="F273" s="128"/>
      <c r="G273" s="128"/>
      <c r="H273" s="128"/>
    </row>
    <row r="274" spans="1:8" x14ac:dyDescent="0.25">
      <c r="F274" s="128"/>
      <c r="G274" s="128"/>
      <c r="H274" s="128"/>
    </row>
    <row r="275" spans="1:8" x14ac:dyDescent="0.25">
      <c r="B275" s="137" t="s">
        <v>10</v>
      </c>
    </row>
    <row r="276" spans="1:8" x14ac:dyDescent="0.25">
      <c r="B276" s="132" t="s">
        <v>2</v>
      </c>
      <c r="F276" s="118">
        <v>103080.41</v>
      </c>
    </row>
    <row r="277" spans="1:8" x14ac:dyDescent="0.25">
      <c r="B277" s="132" t="s">
        <v>3</v>
      </c>
      <c r="C277" s="132" t="s">
        <v>115</v>
      </c>
      <c r="F277" s="125">
        <v>0</v>
      </c>
      <c r="G277" s="118">
        <f>SUM(F276:F277)</f>
        <v>103080.41</v>
      </c>
    </row>
    <row r="278" spans="1:8" x14ac:dyDescent="0.25">
      <c r="B278" s="137" t="s">
        <v>11</v>
      </c>
    </row>
    <row r="279" spans="1:8" x14ac:dyDescent="0.25">
      <c r="B279" s="132" t="s">
        <v>2</v>
      </c>
      <c r="F279" s="118">
        <v>11090.27</v>
      </c>
    </row>
    <row r="280" spans="1:8" x14ac:dyDescent="0.25">
      <c r="B280" s="132" t="s">
        <v>3</v>
      </c>
      <c r="C280" s="137" t="s">
        <v>6</v>
      </c>
    </row>
    <row r="281" spans="1:8" x14ac:dyDescent="0.25">
      <c r="C281" s="132" t="s">
        <v>8</v>
      </c>
      <c r="F281" s="125"/>
    </row>
    <row r="282" spans="1:8" x14ac:dyDescent="0.25">
      <c r="F282" s="118">
        <f>SUM(F279:F281)</f>
        <v>11090.27</v>
      </c>
    </row>
    <row r="283" spans="1:8" x14ac:dyDescent="0.25">
      <c r="B283" s="132" t="s">
        <v>4</v>
      </c>
      <c r="C283" s="132" t="s">
        <v>184</v>
      </c>
    </row>
    <row r="284" spans="1:8" x14ac:dyDescent="0.25">
      <c r="C284" s="132" t="s">
        <v>166</v>
      </c>
      <c r="F284" s="125">
        <v>0</v>
      </c>
      <c r="G284" s="125">
        <f>F282-F284</f>
        <v>11090.27</v>
      </c>
      <c r="H284" s="118">
        <f>SUM(G277:G284)</f>
        <v>114170.68000000001</v>
      </c>
    </row>
    <row r="285" spans="1:8" x14ac:dyDescent="0.25">
      <c r="F285" s="128"/>
      <c r="G285" s="128"/>
      <c r="H285" s="128"/>
    </row>
    <row r="286" spans="1:8" x14ac:dyDescent="0.25">
      <c r="B286" s="137" t="s">
        <v>95</v>
      </c>
    </row>
    <row r="287" spans="1:8" x14ac:dyDescent="0.25">
      <c r="B287" s="132" t="s">
        <v>2</v>
      </c>
      <c r="F287" s="118">
        <v>896891.32</v>
      </c>
    </row>
    <row r="288" spans="1:8" x14ac:dyDescent="0.25">
      <c r="B288" s="132" t="s">
        <v>3</v>
      </c>
      <c r="C288" s="132" t="s">
        <v>115</v>
      </c>
      <c r="F288" s="125">
        <v>0</v>
      </c>
      <c r="G288" s="118">
        <f>SUM(F287:F288)</f>
        <v>896891.32</v>
      </c>
    </row>
    <row r="289" spans="2:8" x14ac:dyDescent="0.25">
      <c r="B289" s="137" t="s">
        <v>124</v>
      </c>
      <c r="F289" s="118">
        <v>0</v>
      </c>
    </row>
    <row r="290" spans="2:8" x14ac:dyDescent="0.25">
      <c r="B290" s="132" t="s">
        <v>2</v>
      </c>
      <c r="F290" s="118">
        <v>101368.19</v>
      </c>
    </row>
    <row r="291" spans="2:8" x14ac:dyDescent="0.25">
      <c r="B291" s="132" t="s">
        <v>3</v>
      </c>
      <c r="C291" s="137" t="s">
        <v>6</v>
      </c>
    </row>
    <row r="292" spans="2:8" x14ac:dyDescent="0.25">
      <c r="C292" s="132" t="s">
        <v>8</v>
      </c>
      <c r="F292" s="125"/>
    </row>
    <row r="293" spans="2:8" x14ac:dyDescent="0.25">
      <c r="F293" s="118">
        <f>SUM(F289:F292)</f>
        <v>101368.19</v>
      </c>
    </row>
    <row r="294" spans="2:8" x14ac:dyDescent="0.25">
      <c r="B294" s="132" t="s">
        <v>4</v>
      </c>
      <c r="C294" s="137" t="s">
        <v>284</v>
      </c>
      <c r="F294" s="125">
        <v>0</v>
      </c>
    </row>
    <row r="295" spans="2:8" x14ac:dyDescent="0.25">
      <c r="F295" s="118">
        <f>F293-F294</f>
        <v>101368.19</v>
      </c>
    </row>
    <row r="296" spans="2:8" x14ac:dyDescent="0.25">
      <c r="B296" s="132" t="s">
        <v>4</v>
      </c>
      <c r="C296" s="132" t="s">
        <v>184</v>
      </c>
    </row>
    <row r="297" spans="2:8" x14ac:dyDescent="0.25">
      <c r="C297" s="267" t="s">
        <v>165</v>
      </c>
      <c r="D297" s="267"/>
      <c r="E297" s="267"/>
    </row>
    <row r="298" spans="2:8" x14ac:dyDescent="0.25">
      <c r="C298" s="141"/>
      <c r="D298" s="141"/>
      <c r="E298" s="141"/>
      <c r="F298" s="125">
        <v>0</v>
      </c>
      <c r="G298" s="125">
        <f>F295-F298</f>
        <v>101368.19</v>
      </c>
      <c r="H298" s="118">
        <f>SUM(G288:G298)</f>
        <v>998259.51</v>
      </c>
    </row>
    <row r="299" spans="2:8" x14ac:dyDescent="0.25">
      <c r="F299" s="128"/>
      <c r="G299" s="128"/>
      <c r="H299" s="128"/>
    </row>
    <row r="300" spans="2:8" x14ac:dyDescent="0.25">
      <c r="B300" s="137" t="s">
        <v>126</v>
      </c>
    </row>
    <row r="301" spans="2:8" x14ac:dyDescent="0.25">
      <c r="B301" s="132" t="s">
        <v>2</v>
      </c>
      <c r="F301" s="118">
        <v>44976.41</v>
      </c>
    </row>
    <row r="302" spans="2:8" x14ac:dyDescent="0.25">
      <c r="B302" s="132" t="s">
        <v>3</v>
      </c>
      <c r="C302" s="132" t="s">
        <v>115</v>
      </c>
      <c r="F302" s="125">
        <v>0</v>
      </c>
      <c r="G302" s="118">
        <f>SUM(F301:F302)</f>
        <v>44976.41</v>
      </c>
    </row>
    <row r="303" spans="2:8" x14ac:dyDescent="0.25">
      <c r="B303" s="137" t="s">
        <v>125</v>
      </c>
    </row>
    <row r="304" spans="2:8" x14ac:dyDescent="0.25">
      <c r="B304" s="132" t="s">
        <v>2</v>
      </c>
      <c r="F304" s="118">
        <v>4838.95</v>
      </c>
    </row>
    <row r="305" spans="1:9" x14ac:dyDescent="0.25">
      <c r="B305" s="132" t="s">
        <v>3</v>
      </c>
      <c r="C305" s="137" t="s">
        <v>6</v>
      </c>
    </row>
    <row r="306" spans="1:9" x14ac:dyDescent="0.25">
      <c r="C306" s="132" t="s">
        <v>8</v>
      </c>
      <c r="F306" s="125"/>
    </row>
    <row r="307" spans="1:9" x14ac:dyDescent="0.25">
      <c r="F307" s="118">
        <f>SUM(F304:F306)</f>
        <v>4838.95</v>
      </c>
    </row>
    <row r="308" spans="1:9" x14ac:dyDescent="0.25">
      <c r="B308" s="132" t="s">
        <v>4</v>
      </c>
      <c r="C308" s="132" t="s">
        <v>184</v>
      </c>
    </row>
    <row r="309" spans="1:9" x14ac:dyDescent="0.25">
      <c r="C309" s="132" t="s">
        <v>165</v>
      </c>
      <c r="F309" s="125">
        <v>0</v>
      </c>
      <c r="G309" s="125">
        <f>F307-F309</f>
        <v>4838.95</v>
      </c>
      <c r="H309" s="118">
        <f>SUM(G302:G309)</f>
        <v>49815.360000000001</v>
      </c>
      <c r="I309" s="187">
        <f>H309+H298+H284</f>
        <v>1162245.55</v>
      </c>
    </row>
    <row r="311" spans="1:9" x14ac:dyDescent="0.25">
      <c r="F311" s="128"/>
      <c r="G311" s="128"/>
      <c r="H311" s="128"/>
    </row>
    <row r="312" spans="1:9" x14ac:dyDescent="0.25">
      <c r="A312" s="134" t="s">
        <v>133</v>
      </c>
      <c r="F312" s="128"/>
      <c r="G312" s="128"/>
      <c r="H312" s="128"/>
    </row>
    <row r="313" spans="1:9" x14ac:dyDescent="0.25">
      <c r="F313" s="128"/>
      <c r="G313" s="128"/>
      <c r="H313" s="128"/>
    </row>
    <row r="314" spans="1:9" x14ac:dyDescent="0.25">
      <c r="B314" s="137" t="s">
        <v>18</v>
      </c>
    </row>
    <row r="315" spans="1:9" x14ac:dyDescent="0.25">
      <c r="B315" s="132" t="s">
        <v>2</v>
      </c>
      <c r="F315" s="118">
        <v>435939.93</v>
      </c>
    </row>
    <row r="316" spans="1:9" x14ac:dyDescent="0.25">
      <c r="B316" s="132" t="s">
        <v>3</v>
      </c>
      <c r="C316" s="132" t="s">
        <v>186</v>
      </c>
      <c r="F316" s="125">
        <v>0</v>
      </c>
      <c r="G316" s="118">
        <f>SUM(F315:F316)</f>
        <v>435939.93</v>
      </c>
    </row>
    <row r="317" spans="1:9" x14ac:dyDescent="0.25">
      <c r="B317" s="137" t="s">
        <v>19</v>
      </c>
    </row>
    <row r="318" spans="1:9" x14ac:dyDescent="0.25">
      <c r="A318" s="134"/>
      <c r="B318" s="132" t="s">
        <v>2</v>
      </c>
      <c r="F318" s="118">
        <v>34952.120000000003</v>
      </c>
    </row>
    <row r="319" spans="1:9" x14ac:dyDescent="0.25">
      <c r="B319" s="132" t="s">
        <v>3</v>
      </c>
      <c r="C319" s="137" t="s">
        <v>6</v>
      </c>
      <c r="F319" s="118" t="s">
        <v>181</v>
      </c>
    </row>
    <row r="320" spans="1:9" x14ac:dyDescent="0.25">
      <c r="C320" s="132" t="s">
        <v>8</v>
      </c>
      <c r="F320" s="118">
        <v>0</v>
      </c>
    </row>
    <row r="321" spans="2:8" x14ac:dyDescent="0.25">
      <c r="B321" s="132" t="s">
        <v>4</v>
      </c>
      <c r="C321" s="137" t="s">
        <v>293</v>
      </c>
      <c r="F321" s="125"/>
    </row>
    <row r="322" spans="2:8" x14ac:dyDescent="0.25">
      <c r="F322" s="118">
        <f>F318+F320-F321</f>
        <v>34952.120000000003</v>
      </c>
    </row>
    <row r="323" spans="2:8" x14ac:dyDescent="0.25">
      <c r="B323" s="132" t="s">
        <v>4</v>
      </c>
      <c r="C323" s="132" t="s">
        <v>184</v>
      </c>
    </row>
    <row r="324" spans="2:8" x14ac:dyDescent="0.25">
      <c r="C324" s="132" t="s">
        <v>165</v>
      </c>
      <c r="F324" s="125">
        <v>0</v>
      </c>
      <c r="G324" s="125">
        <f>F322-F324</f>
        <v>34952.120000000003</v>
      </c>
      <c r="H324" s="118">
        <f>SUM(G316:G324)</f>
        <v>470892.05</v>
      </c>
    </row>
    <row r="327" spans="2:8" x14ac:dyDescent="0.25">
      <c r="B327" s="137" t="s">
        <v>15</v>
      </c>
    </row>
    <row r="328" spans="2:8" x14ac:dyDescent="0.25">
      <c r="B328" s="132" t="s">
        <v>2</v>
      </c>
      <c r="F328" s="118">
        <v>165338.59</v>
      </c>
    </row>
    <row r="329" spans="2:8" x14ac:dyDescent="0.25">
      <c r="B329" s="132" t="s">
        <v>109</v>
      </c>
      <c r="C329" s="132" t="s">
        <v>186</v>
      </c>
      <c r="F329" s="125">
        <v>0</v>
      </c>
      <c r="G329" s="118">
        <f>F328+F329</f>
        <v>165338.59</v>
      </c>
    </row>
    <row r="331" spans="2:8" x14ac:dyDescent="0.25">
      <c r="B331" s="137" t="s">
        <v>16</v>
      </c>
    </row>
    <row r="332" spans="2:8" x14ac:dyDescent="0.25">
      <c r="B332" s="132" t="s">
        <v>2</v>
      </c>
      <c r="F332" s="118">
        <v>146.53</v>
      </c>
    </row>
    <row r="333" spans="2:8" x14ac:dyDescent="0.25">
      <c r="B333" s="132" t="s">
        <v>3</v>
      </c>
      <c r="C333" s="137" t="s">
        <v>6</v>
      </c>
    </row>
    <row r="334" spans="2:8" x14ac:dyDescent="0.25">
      <c r="C334" s="132" t="s">
        <v>7</v>
      </c>
      <c r="F334" s="125">
        <v>0</v>
      </c>
    </row>
    <row r="335" spans="2:8" x14ac:dyDescent="0.25">
      <c r="F335" s="118">
        <f>SUM(F332:F334)</f>
        <v>146.53</v>
      </c>
    </row>
    <row r="336" spans="2:8" x14ac:dyDescent="0.25">
      <c r="B336" s="132" t="s">
        <v>4</v>
      </c>
      <c r="C336" s="137" t="s">
        <v>293</v>
      </c>
      <c r="F336" s="125">
        <v>0</v>
      </c>
    </row>
    <row r="337" spans="2:8" x14ac:dyDescent="0.25">
      <c r="F337" s="118">
        <f>F335-F336</f>
        <v>146.53</v>
      </c>
    </row>
    <row r="338" spans="2:8" x14ac:dyDescent="0.25">
      <c r="B338" s="132" t="s">
        <v>4</v>
      </c>
      <c r="C338" s="132" t="s">
        <v>184</v>
      </c>
    </row>
    <row r="339" spans="2:8" x14ac:dyDescent="0.25">
      <c r="C339" s="132" t="s">
        <v>165</v>
      </c>
      <c r="F339" s="125">
        <v>0</v>
      </c>
      <c r="G339" s="125">
        <f>F337-F339</f>
        <v>146.53</v>
      </c>
      <c r="H339" s="118">
        <f>SUM(G328:G339)</f>
        <v>165485.12</v>
      </c>
    </row>
    <row r="342" spans="2:8" x14ac:dyDescent="0.25">
      <c r="B342" s="137" t="s">
        <v>110</v>
      </c>
    </row>
    <row r="343" spans="2:8" x14ac:dyDescent="0.25">
      <c r="B343" s="132" t="s">
        <v>2</v>
      </c>
      <c r="F343" s="118">
        <v>292213.95</v>
      </c>
    </row>
    <row r="344" spans="2:8" x14ac:dyDescent="0.25">
      <c r="B344" s="132" t="s">
        <v>3</v>
      </c>
      <c r="C344" s="132" t="s">
        <v>186</v>
      </c>
      <c r="F344" s="125">
        <v>0</v>
      </c>
      <c r="G344" s="118">
        <f>SUM(F343:F344)</f>
        <v>292213.95</v>
      </c>
    </row>
    <row r="345" spans="2:8" x14ac:dyDescent="0.25">
      <c r="B345" s="137" t="s">
        <v>111</v>
      </c>
    </row>
    <row r="346" spans="2:8" x14ac:dyDescent="0.25">
      <c r="B346" s="132" t="s">
        <v>2</v>
      </c>
      <c r="F346" s="118">
        <v>21438.85</v>
      </c>
    </row>
    <row r="347" spans="2:8" x14ac:dyDescent="0.25">
      <c r="B347" s="132" t="s">
        <v>3</v>
      </c>
      <c r="C347" s="137" t="s">
        <v>6</v>
      </c>
    </row>
    <row r="348" spans="2:8" x14ac:dyDescent="0.25">
      <c r="C348" s="132" t="s">
        <v>8</v>
      </c>
      <c r="F348" s="125">
        <v>0</v>
      </c>
    </row>
    <row r="349" spans="2:8" x14ac:dyDescent="0.25">
      <c r="F349" s="118">
        <f>SUM(F346:F348)</f>
        <v>21438.85</v>
      </c>
    </row>
    <row r="350" spans="2:8" x14ac:dyDescent="0.25">
      <c r="B350" s="132" t="s">
        <v>4</v>
      </c>
      <c r="C350" s="137" t="s">
        <v>292</v>
      </c>
      <c r="F350" s="125">
        <v>3633</v>
      </c>
    </row>
    <row r="351" spans="2:8" x14ac:dyDescent="0.25">
      <c r="C351" s="137"/>
      <c r="F351" s="118">
        <f>F349-F350</f>
        <v>17805.849999999999</v>
      </c>
    </row>
    <row r="352" spans="2:8" x14ac:dyDescent="0.25">
      <c r="B352" s="132" t="s">
        <v>4</v>
      </c>
      <c r="C352" s="132" t="s">
        <v>187</v>
      </c>
    </row>
    <row r="353" spans="2:8" x14ac:dyDescent="0.25">
      <c r="C353" s="132" t="s">
        <v>165</v>
      </c>
      <c r="F353" s="125">
        <v>0</v>
      </c>
      <c r="G353" s="125">
        <f>F351-F353</f>
        <v>17805.849999999999</v>
      </c>
      <c r="H353" s="118">
        <f>SUM(G344:G353)</f>
        <v>310019.8</v>
      </c>
    </row>
    <row r="355" spans="2:8" x14ac:dyDescent="0.25">
      <c r="F355" s="128"/>
      <c r="G355" s="128"/>
      <c r="H355" s="128"/>
    </row>
    <row r="356" spans="2:8" x14ac:dyDescent="0.25">
      <c r="B356" s="143" t="s">
        <v>559</v>
      </c>
      <c r="C356" s="143"/>
      <c r="D356" s="143"/>
      <c r="F356" s="128"/>
    </row>
    <row r="357" spans="2:8" x14ac:dyDescent="0.25">
      <c r="B357" s="132" t="s">
        <v>2</v>
      </c>
      <c r="F357" s="128"/>
    </row>
    <row r="358" spans="2:8" x14ac:dyDescent="0.25">
      <c r="B358" s="132" t="s">
        <v>3</v>
      </c>
      <c r="C358" s="132" t="s">
        <v>6</v>
      </c>
      <c r="F358" s="128">
        <f>500000+500000</f>
        <v>1000000</v>
      </c>
      <c r="G358" s="128"/>
    </row>
    <row r="359" spans="2:8" x14ac:dyDescent="0.25">
      <c r="C359" s="132" t="s">
        <v>536</v>
      </c>
      <c r="F359" s="125"/>
      <c r="G359" s="125"/>
      <c r="H359" s="118">
        <f>F358</f>
        <v>1000000</v>
      </c>
    </row>
    <row r="360" spans="2:8" x14ac:dyDescent="0.25">
      <c r="B360" s="137"/>
      <c r="F360" s="128"/>
      <c r="G360" s="128"/>
      <c r="H360" s="128"/>
    </row>
    <row r="361" spans="2:8" x14ac:dyDescent="0.25">
      <c r="F361" s="128"/>
      <c r="G361" s="128"/>
      <c r="H361" s="128"/>
    </row>
    <row r="362" spans="2:8" x14ac:dyDescent="0.25">
      <c r="B362" s="137" t="s">
        <v>20</v>
      </c>
    </row>
    <row r="363" spans="2:8" x14ac:dyDescent="0.25">
      <c r="B363" s="132" t="s">
        <v>2</v>
      </c>
      <c r="F363" s="118">
        <v>272159.18</v>
      </c>
    </row>
    <row r="364" spans="2:8" x14ac:dyDescent="0.25">
      <c r="B364" s="132" t="s">
        <v>3</v>
      </c>
      <c r="C364" s="132" t="s">
        <v>186</v>
      </c>
      <c r="F364" s="125">
        <v>350000</v>
      </c>
      <c r="G364" s="118">
        <f>SUM(F363:F364)</f>
        <v>622159.17999999993</v>
      </c>
    </row>
    <row r="365" spans="2:8" x14ac:dyDescent="0.25">
      <c r="B365" s="137" t="s">
        <v>21</v>
      </c>
    </row>
    <row r="366" spans="2:8" x14ac:dyDescent="0.25">
      <c r="B366" s="132" t="s">
        <v>2</v>
      </c>
      <c r="F366" s="118">
        <v>19281.2</v>
      </c>
    </row>
    <row r="367" spans="2:8" x14ac:dyDescent="0.25">
      <c r="B367" s="132" t="s">
        <v>3</v>
      </c>
      <c r="C367" s="137" t="s">
        <v>6</v>
      </c>
    </row>
    <row r="368" spans="2:8" x14ac:dyDescent="0.25">
      <c r="C368" s="132" t="s">
        <v>7</v>
      </c>
      <c r="F368" s="125">
        <v>0</v>
      </c>
    </row>
    <row r="369" spans="2:8" x14ac:dyDescent="0.25">
      <c r="F369" s="118">
        <f>SUM(F366:F368)</f>
        <v>19281.2</v>
      </c>
    </row>
    <row r="370" spans="2:8" x14ac:dyDescent="0.25">
      <c r="B370" s="132" t="s">
        <v>4</v>
      </c>
      <c r="C370" s="137" t="s">
        <v>248</v>
      </c>
      <c r="F370" s="125">
        <v>3633</v>
      </c>
    </row>
    <row r="371" spans="2:8" x14ac:dyDescent="0.25">
      <c r="C371" s="137"/>
      <c r="F371" s="118">
        <f>F369-F370</f>
        <v>15648.2</v>
      </c>
    </row>
    <row r="372" spans="2:8" x14ac:dyDescent="0.25">
      <c r="B372" s="132" t="s">
        <v>4</v>
      </c>
      <c r="C372" s="132" t="s">
        <v>184</v>
      </c>
    </row>
    <row r="373" spans="2:8" x14ac:dyDescent="0.25">
      <c r="C373" s="132" t="s">
        <v>166</v>
      </c>
      <c r="F373" s="125">
        <v>0</v>
      </c>
      <c r="G373" s="125">
        <f>F371-F373</f>
        <v>15648.2</v>
      </c>
      <c r="H373" s="118">
        <f>SUM(G364:G373)</f>
        <v>637807.37999999989</v>
      </c>
    </row>
    <row r="374" spans="2:8" x14ac:dyDescent="0.25">
      <c r="F374" s="128"/>
      <c r="G374" s="128"/>
      <c r="H374" s="128"/>
    </row>
    <row r="375" spans="2:8" x14ac:dyDescent="0.25">
      <c r="B375" s="137" t="s">
        <v>112</v>
      </c>
    </row>
    <row r="376" spans="2:8" x14ac:dyDescent="0.25">
      <c r="B376" s="132" t="s">
        <v>2</v>
      </c>
      <c r="F376" s="118">
        <v>236457.78</v>
      </c>
    </row>
    <row r="377" spans="2:8" x14ac:dyDescent="0.25">
      <c r="B377" s="132" t="s">
        <v>3</v>
      </c>
      <c r="C377" s="132" t="s">
        <v>6</v>
      </c>
      <c r="F377" s="118">
        <v>375000</v>
      </c>
    </row>
    <row r="378" spans="2:8" x14ac:dyDescent="0.25">
      <c r="B378" s="132" t="s">
        <v>3</v>
      </c>
      <c r="C378" s="132" t="s">
        <v>186</v>
      </c>
      <c r="F378" s="125">
        <v>0</v>
      </c>
      <c r="G378" s="118">
        <f>SUM(F376:F378)</f>
        <v>611457.78</v>
      </c>
    </row>
    <row r="379" spans="2:8" x14ac:dyDescent="0.25">
      <c r="B379" s="137" t="s">
        <v>174</v>
      </c>
    </row>
    <row r="380" spans="2:8" x14ac:dyDescent="0.25">
      <c r="B380" s="132" t="s">
        <v>2</v>
      </c>
      <c r="F380" s="118">
        <v>19958.16</v>
      </c>
    </row>
    <row r="381" spans="2:8" x14ac:dyDescent="0.25">
      <c r="B381" s="132" t="s">
        <v>3</v>
      </c>
      <c r="C381" s="137" t="s">
        <v>6</v>
      </c>
    </row>
    <row r="382" spans="2:8" x14ac:dyDescent="0.25">
      <c r="C382" s="132" t="s">
        <v>7</v>
      </c>
      <c r="F382" s="125">
        <v>0</v>
      </c>
    </row>
    <row r="383" spans="2:8" x14ac:dyDescent="0.25">
      <c r="F383" s="118">
        <f>F382+F380</f>
        <v>19958.16</v>
      </c>
    </row>
    <row r="384" spans="2:8" x14ac:dyDescent="0.25">
      <c r="B384" s="132" t="s">
        <v>4</v>
      </c>
      <c r="C384" s="137" t="s">
        <v>248</v>
      </c>
    </row>
    <row r="385" spans="2:8" x14ac:dyDescent="0.25">
      <c r="F385" s="127">
        <f>F383-F384</f>
        <v>19958.16</v>
      </c>
    </row>
    <row r="386" spans="2:8" x14ac:dyDescent="0.25">
      <c r="B386" s="132" t="s">
        <v>4</v>
      </c>
      <c r="C386" s="132" t="s">
        <v>187</v>
      </c>
    </row>
    <row r="387" spans="2:8" x14ac:dyDescent="0.25">
      <c r="C387" s="132" t="s">
        <v>165</v>
      </c>
      <c r="F387" s="125">
        <v>0</v>
      </c>
      <c r="G387" s="125">
        <f>F385-F387</f>
        <v>19958.16</v>
      </c>
      <c r="H387" s="118">
        <f>SUM(G378:G387)</f>
        <v>631415.94000000006</v>
      </c>
    </row>
    <row r="389" spans="2:8" x14ac:dyDescent="0.25">
      <c r="F389" s="128"/>
      <c r="G389" s="128"/>
      <c r="H389" s="128"/>
    </row>
    <row r="390" spans="2:8" x14ac:dyDescent="0.25">
      <c r="B390" s="137" t="s">
        <v>483</v>
      </c>
    </row>
    <row r="391" spans="2:8" x14ac:dyDescent="0.25">
      <c r="B391" s="132" t="s">
        <v>2</v>
      </c>
      <c r="F391" s="118">
        <v>556584.48</v>
      </c>
    </row>
    <row r="392" spans="2:8" x14ac:dyDescent="0.25">
      <c r="B392" s="132" t="s">
        <v>3</v>
      </c>
      <c r="C392" s="137" t="s">
        <v>6</v>
      </c>
      <c r="F392" s="118">
        <v>0</v>
      </c>
    </row>
    <row r="393" spans="2:8" x14ac:dyDescent="0.25">
      <c r="C393" s="137" t="s">
        <v>318</v>
      </c>
    </row>
    <row r="394" spans="2:8" x14ac:dyDescent="0.25">
      <c r="B394" s="132" t="s">
        <v>4</v>
      </c>
      <c r="C394" s="137" t="s">
        <v>5</v>
      </c>
      <c r="F394" s="125">
        <v>0</v>
      </c>
      <c r="G394" s="118">
        <f>F391-F394</f>
        <v>556584.48</v>
      </c>
    </row>
    <row r="396" spans="2:8" x14ac:dyDescent="0.25">
      <c r="B396" s="137" t="s">
        <v>484</v>
      </c>
    </row>
    <row r="397" spans="2:8" x14ac:dyDescent="0.25">
      <c r="B397" s="132" t="s">
        <v>2</v>
      </c>
      <c r="F397" s="118">
        <v>55432.09</v>
      </c>
    </row>
    <row r="398" spans="2:8" x14ac:dyDescent="0.25">
      <c r="B398" s="132" t="s">
        <v>3</v>
      </c>
      <c r="C398" s="137" t="s">
        <v>6</v>
      </c>
      <c r="F398" s="129"/>
    </row>
    <row r="399" spans="2:8" x14ac:dyDescent="0.25">
      <c r="C399" s="132" t="s">
        <v>8</v>
      </c>
      <c r="F399" s="125">
        <v>0</v>
      </c>
    </row>
    <row r="400" spans="2:8" x14ac:dyDescent="0.25">
      <c r="F400" s="118">
        <f>SUM(F397:F399)</f>
        <v>55432.09</v>
      </c>
    </row>
    <row r="401" spans="2:8" x14ac:dyDescent="0.25">
      <c r="B401" s="132" t="s">
        <v>4</v>
      </c>
      <c r="C401" s="137" t="s">
        <v>379</v>
      </c>
      <c r="F401" s="125">
        <v>0</v>
      </c>
    </row>
    <row r="402" spans="2:8" x14ac:dyDescent="0.25">
      <c r="F402" s="118">
        <f>F400-F401</f>
        <v>55432.09</v>
      </c>
    </row>
    <row r="403" spans="2:8" x14ac:dyDescent="0.25">
      <c r="B403" s="132" t="s">
        <v>4</v>
      </c>
      <c r="C403" s="132" t="s">
        <v>184</v>
      </c>
    </row>
    <row r="404" spans="2:8" x14ac:dyDescent="0.25">
      <c r="C404" s="132" t="s">
        <v>165</v>
      </c>
      <c r="F404" s="125">
        <v>0</v>
      </c>
      <c r="G404" s="125">
        <f>F402-F404</f>
        <v>55432.09</v>
      </c>
      <c r="H404" s="118">
        <f>G394+G404</f>
        <v>612016.56999999995</v>
      </c>
    </row>
    <row r="405" spans="2:8" x14ac:dyDescent="0.25">
      <c r="F405" s="128"/>
      <c r="G405" s="128"/>
      <c r="H405" s="128"/>
    </row>
    <row r="406" spans="2:8" x14ac:dyDescent="0.25">
      <c r="B406" s="137" t="s">
        <v>252</v>
      </c>
    </row>
    <row r="407" spans="2:8" x14ac:dyDescent="0.25">
      <c r="B407" s="132" t="s">
        <v>2</v>
      </c>
      <c r="F407" s="118">
        <v>371331.95</v>
      </c>
    </row>
    <row r="408" spans="2:8" x14ac:dyDescent="0.25">
      <c r="B408" s="132" t="s">
        <v>3</v>
      </c>
      <c r="C408" s="132" t="s">
        <v>115</v>
      </c>
      <c r="F408" s="125">
        <v>0</v>
      </c>
      <c r="G408" s="118">
        <f>SUM(F407:F408)</f>
        <v>371331.95</v>
      </c>
    </row>
    <row r="409" spans="2:8" x14ac:dyDescent="0.25">
      <c r="B409" s="137" t="s">
        <v>253</v>
      </c>
    </row>
    <row r="410" spans="2:8" x14ac:dyDescent="0.25">
      <c r="B410" s="132" t="s">
        <v>2</v>
      </c>
      <c r="F410" s="118">
        <v>35211.040000000001</v>
      </c>
    </row>
    <row r="411" spans="2:8" x14ac:dyDescent="0.25">
      <c r="B411" s="132" t="s">
        <v>3</v>
      </c>
      <c r="C411" s="137" t="s">
        <v>6</v>
      </c>
    </row>
    <row r="412" spans="2:8" x14ac:dyDescent="0.25">
      <c r="C412" s="132" t="s">
        <v>8</v>
      </c>
      <c r="F412" s="125">
        <v>0</v>
      </c>
    </row>
    <row r="413" spans="2:8" x14ac:dyDescent="0.25">
      <c r="F413" s="118">
        <f>SUM(F410:F412)</f>
        <v>35211.040000000001</v>
      </c>
    </row>
    <row r="414" spans="2:8" x14ac:dyDescent="0.25">
      <c r="B414" s="132" t="s">
        <v>4</v>
      </c>
      <c r="C414" s="137" t="s">
        <v>292</v>
      </c>
      <c r="F414" s="125">
        <v>0</v>
      </c>
    </row>
    <row r="415" spans="2:8" x14ac:dyDescent="0.25">
      <c r="F415" s="118">
        <f>F413-F414</f>
        <v>35211.040000000001</v>
      </c>
    </row>
    <row r="416" spans="2:8" x14ac:dyDescent="0.25">
      <c r="B416" s="132" t="s">
        <v>4</v>
      </c>
      <c r="C416" s="132" t="s">
        <v>184</v>
      </c>
    </row>
    <row r="417" spans="1:9" x14ac:dyDescent="0.25">
      <c r="C417" s="132" t="s">
        <v>165</v>
      </c>
      <c r="F417" s="125">
        <v>0</v>
      </c>
      <c r="G417" s="125">
        <f>F415-F417</f>
        <v>35211.040000000001</v>
      </c>
      <c r="H417" s="118">
        <f>SUM(G408:G417)</f>
        <v>406542.99</v>
      </c>
      <c r="I417" s="187">
        <f>H417+H404+H387+H373+H359+H353+H339+H324</f>
        <v>4234179.8499999996</v>
      </c>
    </row>
    <row r="418" spans="1:9" x14ac:dyDescent="0.25">
      <c r="B418" s="137"/>
      <c r="F418" s="128"/>
      <c r="G418" s="128"/>
      <c r="H418" s="128"/>
    </row>
    <row r="419" spans="1:9" x14ac:dyDescent="0.25">
      <c r="F419" s="128"/>
      <c r="G419" s="128"/>
      <c r="H419" s="128"/>
    </row>
    <row r="420" spans="1:9" x14ac:dyDescent="0.25">
      <c r="A420" s="134" t="s">
        <v>607</v>
      </c>
      <c r="C420" s="137"/>
      <c r="F420" s="128"/>
      <c r="G420" s="128"/>
      <c r="H420" s="128"/>
    </row>
    <row r="421" spans="1:9" x14ac:dyDescent="0.25">
      <c r="F421" s="128"/>
      <c r="G421" s="128"/>
      <c r="H421" s="128"/>
    </row>
    <row r="422" spans="1:9" x14ac:dyDescent="0.25">
      <c r="B422" s="137" t="s">
        <v>364</v>
      </c>
    </row>
    <row r="423" spans="1:9" x14ac:dyDescent="0.25">
      <c r="B423" s="132" t="s">
        <v>2</v>
      </c>
      <c r="F423" s="118">
        <v>102702.42</v>
      </c>
    </row>
    <row r="424" spans="1:9" x14ac:dyDescent="0.25">
      <c r="B424" s="132" t="s">
        <v>3</v>
      </c>
      <c r="C424" s="137" t="s">
        <v>6</v>
      </c>
    </row>
    <row r="425" spans="1:9" ht="11.25" customHeight="1" x14ac:dyDescent="0.25">
      <c r="C425" s="137" t="s">
        <v>318</v>
      </c>
    </row>
    <row r="426" spans="1:9" x14ac:dyDescent="0.25">
      <c r="A426" s="134"/>
      <c r="B426" s="132" t="s">
        <v>4</v>
      </c>
      <c r="C426" s="137" t="s">
        <v>5</v>
      </c>
      <c r="F426" s="125"/>
      <c r="G426" s="118">
        <f>F423+F424-F426</f>
        <v>102702.42</v>
      </c>
    </row>
    <row r="428" spans="1:9" x14ac:dyDescent="0.25">
      <c r="B428" s="137" t="s">
        <v>482</v>
      </c>
    </row>
    <row r="429" spans="1:9" x14ac:dyDescent="0.25">
      <c r="B429" s="132" t="s">
        <v>2</v>
      </c>
    </row>
    <row r="430" spans="1:9" x14ac:dyDescent="0.25">
      <c r="B430" s="132" t="s">
        <v>3</v>
      </c>
      <c r="C430" s="137" t="s">
        <v>6</v>
      </c>
      <c r="F430" s="129">
        <v>-32656.400000000001</v>
      </c>
    </row>
    <row r="431" spans="1:9" x14ac:dyDescent="0.25">
      <c r="C431" s="132" t="s">
        <v>8</v>
      </c>
      <c r="F431" s="125"/>
    </row>
    <row r="432" spans="1:9" x14ac:dyDescent="0.25">
      <c r="F432" s="118">
        <f>SUM(F429:F431)</f>
        <v>-32656.400000000001</v>
      </c>
    </row>
    <row r="433" spans="2:8" x14ac:dyDescent="0.25">
      <c r="B433" s="132" t="s">
        <v>4</v>
      </c>
      <c r="C433" s="137" t="s">
        <v>379</v>
      </c>
      <c r="F433" s="125"/>
    </row>
    <row r="434" spans="2:8" x14ac:dyDescent="0.25">
      <c r="F434" s="118">
        <f>F432-F433</f>
        <v>-32656.400000000001</v>
      </c>
    </row>
    <row r="435" spans="2:8" x14ac:dyDescent="0.25">
      <c r="B435" s="132" t="s">
        <v>4</v>
      </c>
      <c r="C435" s="132" t="s">
        <v>184</v>
      </c>
    </row>
    <row r="436" spans="2:8" x14ac:dyDescent="0.25">
      <c r="C436" s="132" t="s">
        <v>165</v>
      </c>
      <c r="F436" s="125">
        <v>0</v>
      </c>
      <c r="G436" s="125">
        <f>F434-F436</f>
        <v>-32656.400000000001</v>
      </c>
      <c r="H436" s="118">
        <f>G426+G436</f>
        <v>70046.01999999999</v>
      </c>
    </row>
    <row r="437" spans="2:8" x14ac:dyDescent="0.25">
      <c r="F437" s="128"/>
      <c r="G437" s="128"/>
      <c r="H437" s="128"/>
    </row>
    <row r="438" spans="2:8" x14ac:dyDescent="0.25">
      <c r="B438" s="137" t="s">
        <v>372</v>
      </c>
    </row>
    <row r="439" spans="2:8" x14ac:dyDescent="0.25">
      <c r="B439" s="132" t="s">
        <v>2</v>
      </c>
      <c r="F439" s="118">
        <v>322974.51</v>
      </c>
    </row>
    <row r="440" spans="2:8" x14ac:dyDescent="0.25">
      <c r="B440" s="132" t="s">
        <v>3</v>
      </c>
      <c r="C440" s="137" t="s">
        <v>6</v>
      </c>
    </row>
    <row r="441" spans="2:8" x14ac:dyDescent="0.25">
      <c r="C441" s="137" t="s">
        <v>318</v>
      </c>
    </row>
    <row r="442" spans="2:8" x14ac:dyDescent="0.25">
      <c r="B442" s="132" t="s">
        <v>4</v>
      </c>
      <c r="C442" s="137" t="s">
        <v>5</v>
      </c>
      <c r="F442" s="125"/>
      <c r="G442" s="118">
        <f>F439+F440-F442</f>
        <v>322974.51</v>
      </c>
    </row>
    <row r="444" spans="2:8" x14ac:dyDescent="0.25">
      <c r="B444" s="137" t="s">
        <v>371</v>
      </c>
    </row>
    <row r="445" spans="2:8" x14ac:dyDescent="0.25">
      <c r="B445" s="132" t="s">
        <v>2</v>
      </c>
      <c r="F445" s="118">
        <v>34748.339999999997</v>
      </c>
    </row>
    <row r="446" spans="2:8" x14ac:dyDescent="0.25">
      <c r="B446" s="132" t="s">
        <v>3</v>
      </c>
      <c r="C446" s="137" t="s">
        <v>6</v>
      </c>
      <c r="F446" s="129"/>
    </row>
    <row r="447" spans="2:8" x14ac:dyDescent="0.25">
      <c r="C447" s="132" t="s">
        <v>8</v>
      </c>
      <c r="F447" s="125">
        <v>0</v>
      </c>
    </row>
    <row r="448" spans="2:8" x14ac:dyDescent="0.25">
      <c r="F448" s="118">
        <f>SUM(F445:F447)</f>
        <v>34748.339999999997</v>
      </c>
    </row>
    <row r="449" spans="2:9" x14ac:dyDescent="0.25">
      <c r="B449" s="132" t="s">
        <v>4</v>
      </c>
      <c r="C449" s="137" t="s">
        <v>5</v>
      </c>
      <c r="F449" s="125">
        <v>0</v>
      </c>
    </row>
    <row r="450" spans="2:9" x14ac:dyDescent="0.25">
      <c r="F450" s="118">
        <f>F448-F449</f>
        <v>34748.339999999997</v>
      </c>
    </row>
    <row r="451" spans="2:9" x14ac:dyDescent="0.25">
      <c r="B451" s="132" t="s">
        <v>4</v>
      </c>
      <c r="C451" s="132" t="s">
        <v>184</v>
      </c>
    </row>
    <row r="452" spans="2:9" x14ac:dyDescent="0.25">
      <c r="C452" s="132" t="s">
        <v>165</v>
      </c>
      <c r="F452" s="125">
        <v>0</v>
      </c>
      <c r="G452" s="125">
        <f>F450-F452</f>
        <v>34748.339999999997</v>
      </c>
      <c r="H452" s="118">
        <f>G442+G452</f>
        <v>357722.85</v>
      </c>
    </row>
    <row r="453" spans="2:9" x14ac:dyDescent="0.25">
      <c r="F453" s="128"/>
      <c r="G453" s="128"/>
      <c r="H453" s="128"/>
    </row>
    <row r="454" spans="2:9" x14ac:dyDescent="0.25">
      <c r="F454" s="128"/>
      <c r="G454" s="128"/>
      <c r="H454" s="128"/>
    </row>
    <row r="455" spans="2:9" x14ac:dyDescent="0.25">
      <c r="B455" s="137" t="s">
        <v>76</v>
      </c>
    </row>
    <row r="456" spans="2:9" x14ac:dyDescent="0.25">
      <c r="B456" s="132" t="s">
        <v>2</v>
      </c>
      <c r="F456" s="118">
        <v>1965064.7</v>
      </c>
    </row>
    <row r="457" spans="2:9" x14ac:dyDescent="0.25">
      <c r="B457" s="132" t="s">
        <v>3</v>
      </c>
      <c r="C457" s="132" t="s">
        <v>115</v>
      </c>
      <c r="F457" s="125">
        <v>0</v>
      </c>
      <c r="G457" s="118">
        <f>F456+F461</f>
        <v>1965064.7</v>
      </c>
    </row>
    <row r="458" spans="2:9" x14ac:dyDescent="0.25">
      <c r="B458" s="137" t="s">
        <v>74</v>
      </c>
    </row>
    <row r="459" spans="2:9" x14ac:dyDescent="0.25">
      <c r="B459" s="132" t="s">
        <v>2</v>
      </c>
      <c r="F459" s="118">
        <v>23634</v>
      </c>
    </row>
    <row r="460" spans="2:9" x14ac:dyDescent="0.25">
      <c r="B460" s="132" t="s">
        <v>3</v>
      </c>
      <c r="C460" s="137" t="s">
        <v>6</v>
      </c>
    </row>
    <row r="461" spans="2:9" x14ac:dyDescent="0.25">
      <c r="C461" s="132" t="s">
        <v>7</v>
      </c>
      <c r="F461" s="125"/>
      <c r="I461" s="187">
        <f>H466+H452+H436</f>
        <v>2416467.5699999998</v>
      </c>
    </row>
    <row r="462" spans="2:9" x14ac:dyDescent="0.25">
      <c r="F462" s="118">
        <f>SUM(F459:F461)</f>
        <v>23634</v>
      </c>
    </row>
    <row r="463" spans="2:9" x14ac:dyDescent="0.25">
      <c r="B463" s="132" t="s">
        <v>4</v>
      </c>
      <c r="C463" s="137" t="s">
        <v>122</v>
      </c>
      <c r="F463" s="125"/>
    </row>
    <row r="464" spans="2:9" x14ac:dyDescent="0.25">
      <c r="F464" s="118">
        <f>F462-F463</f>
        <v>23634</v>
      </c>
    </row>
    <row r="465" spans="1:8" x14ac:dyDescent="0.25">
      <c r="B465" s="132" t="s">
        <v>4</v>
      </c>
      <c r="C465" s="132" t="s">
        <v>184</v>
      </c>
    </row>
    <row r="466" spans="1:8" x14ac:dyDescent="0.25">
      <c r="C466" s="132" t="s">
        <v>166</v>
      </c>
      <c r="F466" s="125">
        <v>0</v>
      </c>
      <c r="G466" s="125">
        <f>F459-F463</f>
        <v>23634</v>
      </c>
      <c r="H466" s="118">
        <f>SUM(G457:G466)</f>
        <v>1988698.7</v>
      </c>
    </row>
    <row r="467" spans="1:8" x14ac:dyDescent="0.25">
      <c r="F467" s="128"/>
      <c r="G467" s="128"/>
      <c r="H467" s="128"/>
    </row>
    <row r="468" spans="1:8" x14ac:dyDescent="0.25">
      <c r="A468" s="134" t="s">
        <v>114</v>
      </c>
      <c r="F468" s="128"/>
      <c r="G468" s="128"/>
      <c r="H468" s="128"/>
    </row>
    <row r="469" spans="1:8" x14ac:dyDescent="0.25">
      <c r="B469" s="137"/>
      <c r="F469" s="128"/>
      <c r="G469" s="128"/>
      <c r="H469" s="128"/>
    </row>
    <row r="470" spans="1:8" x14ac:dyDescent="0.25">
      <c r="B470" s="137" t="s">
        <v>369</v>
      </c>
      <c r="F470" s="118" t="s">
        <v>181</v>
      </c>
    </row>
    <row r="471" spans="1:8" x14ac:dyDescent="0.25">
      <c r="B471" s="132" t="s">
        <v>2</v>
      </c>
      <c r="F471" s="118">
        <v>13311.26</v>
      </c>
    </row>
    <row r="472" spans="1:8" x14ac:dyDescent="0.25">
      <c r="B472" s="132" t="s">
        <v>3</v>
      </c>
      <c r="C472" s="137" t="s">
        <v>6</v>
      </c>
      <c r="F472" s="129"/>
    </row>
    <row r="473" spans="1:8" x14ac:dyDescent="0.25">
      <c r="C473" s="132" t="s">
        <v>8</v>
      </c>
      <c r="F473" s="125"/>
    </row>
    <row r="474" spans="1:8" x14ac:dyDescent="0.25">
      <c r="F474" s="118">
        <f>F471+F472+F473</f>
        <v>13311.26</v>
      </c>
    </row>
    <row r="475" spans="1:8" x14ac:dyDescent="0.25">
      <c r="B475" s="132" t="s">
        <v>4</v>
      </c>
      <c r="C475" s="137" t="s">
        <v>5</v>
      </c>
      <c r="F475" s="125"/>
    </row>
    <row r="476" spans="1:8" x14ac:dyDescent="0.25">
      <c r="F476" s="118">
        <f>F474-F475</f>
        <v>13311.26</v>
      </c>
    </row>
    <row r="477" spans="1:8" x14ac:dyDescent="0.25">
      <c r="B477" s="132" t="s">
        <v>4</v>
      </c>
      <c r="C477" s="132" t="s">
        <v>184</v>
      </c>
    </row>
    <row r="478" spans="1:8" x14ac:dyDescent="0.25">
      <c r="C478" s="132" t="s">
        <v>165</v>
      </c>
      <c r="F478" s="125"/>
      <c r="G478" s="118">
        <f>F476-F478</f>
        <v>13311.26</v>
      </c>
      <c r="H478" s="118">
        <f>G478</f>
        <v>13311.26</v>
      </c>
    </row>
    <row r="479" spans="1:8" x14ac:dyDescent="0.25">
      <c r="F479" s="128"/>
      <c r="G479" s="128"/>
      <c r="H479" s="128"/>
    </row>
    <row r="480" spans="1:8" x14ac:dyDescent="0.25">
      <c r="B480" s="137" t="s">
        <v>175</v>
      </c>
    </row>
    <row r="481" spans="2:8" x14ac:dyDescent="0.25">
      <c r="B481" s="132" t="s">
        <v>2</v>
      </c>
      <c r="F481" s="118">
        <v>249781.81</v>
      </c>
    </row>
    <row r="482" spans="2:8" x14ac:dyDescent="0.25">
      <c r="B482" s="132" t="s">
        <v>3</v>
      </c>
      <c r="C482" s="132" t="s">
        <v>115</v>
      </c>
      <c r="F482" s="125">
        <v>0</v>
      </c>
      <c r="G482" s="118">
        <f>SUM(F481:F482)</f>
        <v>249781.81</v>
      </c>
    </row>
    <row r="483" spans="2:8" x14ac:dyDescent="0.25">
      <c r="B483" s="137" t="s">
        <v>176</v>
      </c>
    </row>
    <row r="484" spans="2:8" x14ac:dyDescent="0.25">
      <c r="B484" s="132" t="s">
        <v>2</v>
      </c>
      <c r="F484" s="118">
        <v>18943.689999999999</v>
      </c>
    </row>
    <row r="485" spans="2:8" x14ac:dyDescent="0.25">
      <c r="B485" s="132" t="s">
        <v>3</v>
      </c>
      <c r="C485" s="137" t="s">
        <v>6</v>
      </c>
    </row>
    <row r="486" spans="2:8" x14ac:dyDescent="0.25">
      <c r="C486" s="132" t="s">
        <v>8</v>
      </c>
      <c r="F486" s="125"/>
    </row>
    <row r="487" spans="2:8" x14ac:dyDescent="0.25">
      <c r="F487" s="118">
        <f>F484+F486</f>
        <v>18943.689999999999</v>
      </c>
    </row>
    <row r="488" spans="2:8" x14ac:dyDescent="0.25">
      <c r="B488" s="132" t="s">
        <v>244</v>
      </c>
      <c r="C488" s="137" t="s">
        <v>229</v>
      </c>
      <c r="F488" s="125">
        <v>3633</v>
      </c>
    </row>
    <row r="489" spans="2:8" x14ac:dyDescent="0.25">
      <c r="F489" s="118">
        <f>F487-F488</f>
        <v>15310.689999999999</v>
      </c>
    </row>
    <row r="490" spans="2:8" x14ac:dyDescent="0.25">
      <c r="B490" s="132" t="s">
        <v>4</v>
      </c>
      <c r="C490" s="132" t="s">
        <v>184</v>
      </c>
    </row>
    <row r="491" spans="2:8" x14ac:dyDescent="0.25">
      <c r="C491" s="132" t="s">
        <v>164</v>
      </c>
      <c r="F491" s="125">
        <v>0</v>
      </c>
      <c r="G491" s="125">
        <f>F489</f>
        <v>15310.689999999999</v>
      </c>
      <c r="H491" s="118">
        <f>SUM(G482:G491)</f>
        <v>265092.5</v>
      </c>
    </row>
    <row r="492" spans="2:8" x14ac:dyDescent="0.25">
      <c r="B492" s="137"/>
      <c r="F492" s="128"/>
      <c r="G492" s="128"/>
      <c r="H492" s="128"/>
    </row>
    <row r="493" spans="2:8" x14ac:dyDescent="0.25">
      <c r="B493" s="137" t="s">
        <v>13</v>
      </c>
    </row>
    <row r="494" spans="2:8" x14ac:dyDescent="0.25">
      <c r="B494" s="132" t="s">
        <v>2</v>
      </c>
      <c r="F494" s="118">
        <v>175069.06</v>
      </c>
    </row>
    <row r="495" spans="2:8" x14ac:dyDescent="0.25">
      <c r="B495" s="132" t="s">
        <v>3</v>
      </c>
      <c r="C495" s="137" t="s">
        <v>6</v>
      </c>
    </row>
    <row r="496" spans="2:8" x14ac:dyDescent="0.25">
      <c r="C496" s="132" t="s">
        <v>186</v>
      </c>
      <c r="F496" s="125">
        <v>0</v>
      </c>
      <c r="G496" s="118">
        <f>F494+F496</f>
        <v>175069.06</v>
      </c>
    </row>
    <row r="497" spans="2:8" x14ac:dyDescent="0.25">
      <c r="B497" s="137" t="s">
        <v>14</v>
      </c>
    </row>
    <row r="498" spans="2:8" x14ac:dyDescent="0.25">
      <c r="B498" s="132" t="s">
        <v>2</v>
      </c>
      <c r="F498" s="118">
        <v>-4146.5600000000004</v>
      </c>
    </row>
    <row r="499" spans="2:8" x14ac:dyDescent="0.25">
      <c r="B499" s="132" t="s">
        <v>3</v>
      </c>
      <c r="C499" s="137" t="s">
        <v>6</v>
      </c>
    </row>
    <row r="500" spans="2:8" x14ac:dyDescent="0.25">
      <c r="C500" s="132" t="s">
        <v>8</v>
      </c>
      <c r="F500" s="125">
        <v>0</v>
      </c>
    </row>
    <row r="501" spans="2:8" x14ac:dyDescent="0.25">
      <c r="F501" s="118">
        <f>SUM(F498:F500)</f>
        <v>-4146.5600000000004</v>
      </c>
    </row>
    <row r="502" spans="2:8" x14ac:dyDescent="0.25">
      <c r="B502" s="132" t="s">
        <v>4</v>
      </c>
      <c r="C502" s="137" t="s">
        <v>113</v>
      </c>
      <c r="F502" s="125">
        <v>0</v>
      </c>
    </row>
    <row r="503" spans="2:8" x14ac:dyDescent="0.25">
      <c r="F503" s="118">
        <f>F501-F502</f>
        <v>-4146.5600000000004</v>
      </c>
    </row>
    <row r="504" spans="2:8" x14ac:dyDescent="0.25">
      <c r="B504" s="132" t="s">
        <v>4</v>
      </c>
      <c r="C504" s="132" t="s">
        <v>255</v>
      </c>
    </row>
    <row r="505" spans="2:8" x14ac:dyDescent="0.25">
      <c r="C505" s="132" t="s">
        <v>256</v>
      </c>
      <c r="F505" s="125">
        <v>0</v>
      </c>
      <c r="G505" s="125">
        <f>F503-F505</f>
        <v>-4146.5600000000004</v>
      </c>
      <c r="H505" s="118">
        <f>SUM(G494:G505)</f>
        <v>170922.5</v>
      </c>
    </row>
    <row r="506" spans="2:8" x14ac:dyDescent="0.25">
      <c r="B506" s="137"/>
      <c r="F506" s="128"/>
      <c r="G506" s="128"/>
      <c r="H506" s="128"/>
    </row>
    <row r="507" spans="2:8" x14ac:dyDescent="0.25">
      <c r="B507" s="137" t="s">
        <v>42</v>
      </c>
    </row>
    <row r="508" spans="2:8" x14ac:dyDescent="0.25">
      <c r="B508" s="132" t="s">
        <v>2</v>
      </c>
      <c r="F508" s="118">
        <v>102108.69</v>
      </c>
    </row>
    <row r="509" spans="2:8" x14ac:dyDescent="0.25">
      <c r="B509" s="132" t="s">
        <v>3</v>
      </c>
      <c r="C509" s="132" t="s">
        <v>115</v>
      </c>
      <c r="F509" s="125">
        <v>0</v>
      </c>
      <c r="G509" s="118">
        <f>SUM(F508:F509)</f>
        <v>102108.69</v>
      </c>
    </row>
    <row r="510" spans="2:8" x14ac:dyDescent="0.25">
      <c r="B510" s="137" t="s">
        <v>65</v>
      </c>
    </row>
    <row r="511" spans="2:8" x14ac:dyDescent="0.25">
      <c r="B511" s="132" t="s">
        <v>2</v>
      </c>
      <c r="F511" s="118">
        <v>514.28</v>
      </c>
    </row>
    <row r="512" spans="2:8" x14ac:dyDescent="0.25">
      <c r="B512" s="132" t="s">
        <v>70</v>
      </c>
      <c r="C512" s="137" t="s">
        <v>6</v>
      </c>
    </row>
    <row r="513" spans="2:8" x14ac:dyDescent="0.25">
      <c r="C513" s="132" t="s">
        <v>8</v>
      </c>
      <c r="F513" s="125">
        <v>0</v>
      </c>
    </row>
    <row r="514" spans="2:8" x14ac:dyDescent="0.25">
      <c r="F514" s="118">
        <f>F513-F511</f>
        <v>-514.28</v>
      </c>
    </row>
    <row r="515" spans="2:8" x14ac:dyDescent="0.25">
      <c r="B515" s="132" t="s">
        <v>4</v>
      </c>
      <c r="C515" s="137" t="s">
        <v>121</v>
      </c>
      <c r="F515" s="125">
        <v>0</v>
      </c>
    </row>
    <row r="516" spans="2:8" x14ac:dyDescent="0.25">
      <c r="F516" s="118">
        <f>F514-F515</f>
        <v>-514.28</v>
      </c>
    </row>
    <row r="517" spans="2:8" x14ac:dyDescent="0.25">
      <c r="B517" s="132" t="s">
        <v>4</v>
      </c>
      <c r="C517" s="132" t="s">
        <v>184</v>
      </c>
    </row>
    <row r="518" spans="2:8" x14ac:dyDescent="0.25">
      <c r="C518" s="132" t="s">
        <v>166</v>
      </c>
      <c r="F518" s="125">
        <v>0</v>
      </c>
      <c r="G518" s="125">
        <f>F516-F518</f>
        <v>-514.28</v>
      </c>
      <c r="H518" s="118">
        <f>SUM(G509:G518)</f>
        <v>101594.41</v>
      </c>
    </row>
    <row r="520" spans="2:8" x14ac:dyDescent="0.25">
      <c r="B520" s="137" t="s">
        <v>279</v>
      </c>
    </row>
    <row r="521" spans="2:8" x14ac:dyDescent="0.25">
      <c r="B521" s="132" t="s">
        <v>2</v>
      </c>
      <c r="F521" s="118">
        <v>357586.78</v>
      </c>
    </row>
    <row r="522" spans="2:8" x14ac:dyDescent="0.25">
      <c r="B522" s="132" t="s">
        <v>3</v>
      </c>
      <c r="C522" s="132" t="s">
        <v>6</v>
      </c>
      <c r="F522" s="125">
        <v>0</v>
      </c>
      <c r="G522" s="118">
        <f>F521+F522</f>
        <v>357586.78</v>
      </c>
      <c r="H522" s="118">
        <v>0</v>
      </c>
    </row>
    <row r="523" spans="2:8" x14ac:dyDescent="0.25">
      <c r="B523" s="137" t="s">
        <v>280</v>
      </c>
    </row>
    <row r="524" spans="2:8" x14ac:dyDescent="0.25">
      <c r="B524" s="132" t="s">
        <v>2</v>
      </c>
      <c r="F524" s="118">
        <v>38472.22</v>
      </c>
    </row>
    <row r="525" spans="2:8" x14ac:dyDescent="0.25">
      <c r="B525" s="132" t="s">
        <v>3</v>
      </c>
      <c r="C525" s="137" t="s">
        <v>6</v>
      </c>
    </row>
    <row r="526" spans="2:8" x14ac:dyDescent="0.25">
      <c r="C526" s="132" t="s">
        <v>7</v>
      </c>
      <c r="F526" s="125">
        <v>0</v>
      </c>
    </row>
    <row r="527" spans="2:8" x14ac:dyDescent="0.25">
      <c r="F527" s="118">
        <f>SUM(F524:F526)</f>
        <v>38472.22</v>
      </c>
    </row>
    <row r="528" spans="2:8" x14ac:dyDescent="0.25">
      <c r="B528" s="132" t="s">
        <v>4</v>
      </c>
      <c r="C528" s="137" t="s">
        <v>113</v>
      </c>
      <c r="F528" s="125">
        <v>3633</v>
      </c>
    </row>
    <row r="529" spans="2:8" x14ac:dyDescent="0.25">
      <c r="F529" s="118">
        <f>F527-F528</f>
        <v>34839.22</v>
      </c>
    </row>
    <row r="530" spans="2:8" x14ac:dyDescent="0.25">
      <c r="B530" s="132" t="s">
        <v>4</v>
      </c>
      <c r="C530" s="132" t="s">
        <v>184</v>
      </c>
    </row>
    <row r="531" spans="2:8" x14ac:dyDescent="0.25">
      <c r="C531" s="132" t="s">
        <v>165</v>
      </c>
      <c r="F531" s="125">
        <v>0</v>
      </c>
      <c r="G531" s="125">
        <f>F529-F531</f>
        <v>34839.22</v>
      </c>
      <c r="H531" s="118">
        <f>SUM(G522:G531)</f>
        <v>392426</v>
      </c>
    </row>
    <row r="533" spans="2:8" x14ac:dyDescent="0.25">
      <c r="F533" s="132"/>
      <c r="G533" s="132"/>
      <c r="H533" s="132"/>
    </row>
    <row r="534" spans="2:8" x14ac:dyDescent="0.25">
      <c r="B534" s="137" t="s">
        <v>162</v>
      </c>
    </row>
    <row r="535" spans="2:8" x14ac:dyDescent="0.25">
      <c r="B535" s="132" t="s">
        <v>2</v>
      </c>
      <c r="F535" s="118">
        <v>84095.16</v>
      </c>
    </row>
    <row r="536" spans="2:8" x14ac:dyDescent="0.25">
      <c r="B536" s="132" t="s">
        <v>3</v>
      </c>
      <c r="C536" s="132" t="s">
        <v>115</v>
      </c>
      <c r="F536" s="125">
        <v>0</v>
      </c>
      <c r="G536" s="118">
        <f>F535+F536</f>
        <v>84095.16</v>
      </c>
    </row>
    <row r="537" spans="2:8" x14ac:dyDescent="0.25">
      <c r="B537" s="137" t="s">
        <v>163</v>
      </c>
    </row>
    <row r="538" spans="2:8" x14ac:dyDescent="0.25">
      <c r="B538" s="132" t="s">
        <v>2</v>
      </c>
      <c r="F538" s="118">
        <v>9047.67</v>
      </c>
    </row>
    <row r="539" spans="2:8" x14ac:dyDescent="0.25">
      <c r="B539" s="132" t="s">
        <v>3</v>
      </c>
      <c r="C539" s="137" t="s">
        <v>6</v>
      </c>
    </row>
    <row r="540" spans="2:8" x14ac:dyDescent="0.25">
      <c r="C540" s="132" t="s">
        <v>8</v>
      </c>
      <c r="F540" s="125">
        <v>0</v>
      </c>
      <c r="H540" s="118" t="s">
        <v>181</v>
      </c>
    </row>
    <row r="541" spans="2:8" x14ac:dyDescent="0.25">
      <c r="F541" s="118">
        <f>F538+F540</f>
        <v>9047.67</v>
      </c>
    </row>
    <row r="542" spans="2:8" x14ac:dyDescent="0.25">
      <c r="B542" s="132" t="s">
        <v>4</v>
      </c>
      <c r="C542" s="137" t="s">
        <v>113</v>
      </c>
      <c r="F542" s="125">
        <v>3633</v>
      </c>
    </row>
    <row r="543" spans="2:8" x14ac:dyDescent="0.25">
      <c r="F543" s="118">
        <f>F541-F542</f>
        <v>5414.67</v>
      </c>
    </row>
    <row r="544" spans="2:8" x14ac:dyDescent="0.25">
      <c r="B544" s="132" t="s">
        <v>4</v>
      </c>
      <c r="C544" s="132" t="s">
        <v>184</v>
      </c>
    </row>
    <row r="545" spans="1:8" x14ac:dyDescent="0.25">
      <c r="C545" s="132" t="s">
        <v>164</v>
      </c>
      <c r="F545" s="125">
        <v>0</v>
      </c>
      <c r="G545" s="125">
        <f>F543-F545</f>
        <v>5414.67</v>
      </c>
      <c r="H545" s="118">
        <f>SUM(G535:G545)</f>
        <v>89509.83</v>
      </c>
    </row>
    <row r="546" spans="1:8" x14ac:dyDescent="0.25">
      <c r="F546" s="125"/>
      <c r="G546" s="125"/>
    </row>
    <row r="547" spans="1:8" x14ac:dyDescent="0.25">
      <c r="B547" s="137" t="s">
        <v>241</v>
      </c>
    </row>
    <row r="548" spans="1:8" x14ac:dyDescent="0.25">
      <c r="B548" s="132" t="s">
        <v>2</v>
      </c>
      <c r="F548" s="118">
        <v>363673.98</v>
      </c>
    </row>
    <row r="549" spans="1:8" x14ac:dyDescent="0.25">
      <c r="A549" s="134"/>
      <c r="B549" s="132" t="s">
        <v>3</v>
      </c>
      <c r="C549" s="132" t="s">
        <v>6</v>
      </c>
      <c r="F549" s="125">
        <v>0</v>
      </c>
      <c r="G549" s="118">
        <f>F548+F549</f>
        <v>363673.98</v>
      </c>
      <c r="H549" s="118">
        <v>0</v>
      </c>
    </row>
    <row r="550" spans="1:8" x14ac:dyDescent="0.25">
      <c r="B550" s="137" t="s">
        <v>278</v>
      </c>
    </row>
    <row r="551" spans="1:8" x14ac:dyDescent="0.25">
      <c r="B551" s="132" t="s">
        <v>2</v>
      </c>
      <c r="F551" s="118">
        <v>39127.14</v>
      </c>
    </row>
    <row r="552" spans="1:8" x14ac:dyDescent="0.25">
      <c r="B552" s="132" t="s">
        <v>3</v>
      </c>
      <c r="C552" s="137" t="s">
        <v>6</v>
      </c>
    </row>
    <row r="553" spans="1:8" x14ac:dyDescent="0.25">
      <c r="C553" s="132" t="s">
        <v>7</v>
      </c>
      <c r="F553" s="125"/>
    </row>
    <row r="554" spans="1:8" x14ac:dyDescent="0.25">
      <c r="F554" s="118">
        <f>SUM(F551:F553)</f>
        <v>39127.14</v>
      </c>
    </row>
    <row r="555" spans="1:8" x14ac:dyDescent="0.25">
      <c r="B555" s="132" t="s">
        <v>4</v>
      </c>
      <c r="C555" s="137" t="s">
        <v>113</v>
      </c>
      <c r="F555" s="125">
        <v>3633</v>
      </c>
    </row>
    <row r="556" spans="1:8" x14ac:dyDescent="0.25">
      <c r="F556" s="118">
        <f>F554-F555</f>
        <v>35494.14</v>
      </c>
    </row>
    <row r="557" spans="1:8" x14ac:dyDescent="0.25">
      <c r="B557" s="132" t="s">
        <v>4</v>
      </c>
      <c r="C557" s="132" t="s">
        <v>184</v>
      </c>
    </row>
    <row r="558" spans="1:8" x14ac:dyDescent="0.25">
      <c r="C558" s="132" t="s">
        <v>165</v>
      </c>
      <c r="F558" s="125">
        <v>0</v>
      </c>
      <c r="G558" s="125">
        <f>F556-F558</f>
        <v>35494.14</v>
      </c>
      <c r="H558" s="118">
        <f>SUM(G549:G558)</f>
        <v>399168.12</v>
      </c>
    </row>
    <row r="559" spans="1:8" x14ac:dyDescent="0.25">
      <c r="C559" s="137"/>
      <c r="F559" s="128"/>
      <c r="G559" s="128"/>
      <c r="H559" s="128"/>
    </row>
    <row r="560" spans="1:8" x14ac:dyDescent="0.25">
      <c r="B560" s="137" t="s">
        <v>26</v>
      </c>
    </row>
    <row r="561" spans="2:8" x14ac:dyDescent="0.25">
      <c r="B561" s="132" t="s">
        <v>2</v>
      </c>
      <c r="F561" s="118">
        <v>95710.15</v>
      </c>
    </row>
    <row r="562" spans="2:8" ht="15.75" customHeight="1" x14ac:dyDescent="0.25">
      <c r="B562" s="132" t="s">
        <v>3</v>
      </c>
      <c r="C562" s="132" t="s">
        <v>115</v>
      </c>
      <c r="F562" s="125">
        <v>60000</v>
      </c>
      <c r="G562" s="118">
        <f>F561+F562</f>
        <v>155710.15</v>
      </c>
    </row>
    <row r="563" spans="2:8" x14ac:dyDescent="0.25">
      <c r="B563" s="137" t="s">
        <v>27</v>
      </c>
    </row>
    <row r="564" spans="2:8" x14ac:dyDescent="0.25">
      <c r="B564" s="132" t="s">
        <v>2</v>
      </c>
      <c r="F564" s="118">
        <v>10297.31</v>
      </c>
    </row>
    <row r="565" spans="2:8" x14ac:dyDescent="0.25">
      <c r="B565" s="132" t="s">
        <v>3</v>
      </c>
      <c r="C565" s="137" t="s">
        <v>6</v>
      </c>
    </row>
    <row r="566" spans="2:8" x14ac:dyDescent="0.25">
      <c r="C566" s="132" t="s">
        <v>8</v>
      </c>
      <c r="F566" s="125"/>
    </row>
    <row r="567" spans="2:8" x14ac:dyDescent="0.25">
      <c r="B567" s="132" t="s">
        <v>4</v>
      </c>
      <c r="C567" s="137" t="s">
        <v>113</v>
      </c>
      <c r="F567" s="118">
        <v>3633</v>
      </c>
    </row>
    <row r="568" spans="2:8" x14ac:dyDescent="0.25">
      <c r="C568" s="137"/>
      <c r="F568" s="118">
        <v>0</v>
      </c>
    </row>
    <row r="569" spans="2:8" x14ac:dyDescent="0.25">
      <c r="B569" s="132" t="s">
        <v>4</v>
      </c>
      <c r="C569" s="132" t="s">
        <v>184</v>
      </c>
    </row>
    <row r="570" spans="2:8" x14ac:dyDescent="0.25">
      <c r="C570" s="132" t="s">
        <v>257</v>
      </c>
      <c r="F570" s="125">
        <v>0</v>
      </c>
      <c r="G570" s="125">
        <f>F564+F566-F567</f>
        <v>6664.3099999999995</v>
      </c>
      <c r="H570" s="118">
        <f>SUM(G561:G570)</f>
        <v>162374.46</v>
      </c>
    </row>
    <row r="571" spans="2:8" x14ac:dyDescent="0.25">
      <c r="F571" s="128"/>
      <c r="G571" s="128"/>
      <c r="H571" s="128"/>
    </row>
    <row r="572" spans="2:8" x14ac:dyDescent="0.25">
      <c r="B572" s="137" t="s">
        <v>22</v>
      </c>
    </row>
    <row r="573" spans="2:8" x14ac:dyDescent="0.25">
      <c r="B573" s="132" t="s">
        <v>2</v>
      </c>
      <c r="F573" s="118">
        <v>287423.15000000002</v>
      </c>
    </row>
    <row r="574" spans="2:8" x14ac:dyDescent="0.25">
      <c r="B574" s="132" t="s">
        <v>3</v>
      </c>
      <c r="C574" s="137" t="s">
        <v>6</v>
      </c>
    </row>
    <row r="575" spans="2:8" x14ac:dyDescent="0.25">
      <c r="B575" s="132" t="s">
        <v>3</v>
      </c>
      <c r="C575" s="132" t="s">
        <v>115</v>
      </c>
      <c r="F575" s="125">
        <v>0</v>
      </c>
      <c r="G575" s="118">
        <f>SUM(F573:F575)</f>
        <v>287423.15000000002</v>
      </c>
    </row>
    <row r="576" spans="2:8" x14ac:dyDescent="0.25">
      <c r="B576" s="137" t="s">
        <v>23</v>
      </c>
    </row>
    <row r="577" spans="1:9" x14ac:dyDescent="0.25">
      <c r="B577" s="132" t="s">
        <v>2</v>
      </c>
      <c r="F577" s="118">
        <v>23923.43</v>
      </c>
    </row>
    <row r="578" spans="1:9" x14ac:dyDescent="0.25">
      <c r="B578" s="132" t="s">
        <v>3</v>
      </c>
      <c r="C578" s="137" t="s">
        <v>6</v>
      </c>
    </row>
    <row r="579" spans="1:9" x14ac:dyDescent="0.25">
      <c r="C579" s="132" t="s">
        <v>8</v>
      </c>
      <c r="F579" s="125"/>
    </row>
    <row r="580" spans="1:9" x14ac:dyDescent="0.25">
      <c r="F580" s="118">
        <f>SUM(F577:F579)</f>
        <v>23923.43</v>
      </c>
    </row>
    <row r="581" spans="1:9" x14ac:dyDescent="0.25">
      <c r="B581" s="132" t="s">
        <v>4</v>
      </c>
      <c r="C581" s="137" t="s">
        <v>113</v>
      </c>
      <c r="F581" s="125"/>
    </row>
    <row r="582" spans="1:9" x14ac:dyDescent="0.25">
      <c r="F582" s="127">
        <f>F580-F581</f>
        <v>23923.43</v>
      </c>
    </row>
    <row r="583" spans="1:9" x14ac:dyDescent="0.25">
      <c r="B583" s="132" t="s">
        <v>4</v>
      </c>
      <c r="C583" s="132" t="s">
        <v>184</v>
      </c>
    </row>
    <row r="584" spans="1:9" x14ac:dyDescent="0.25">
      <c r="C584" s="132" t="s">
        <v>166</v>
      </c>
      <c r="F584" s="125">
        <v>0</v>
      </c>
      <c r="G584" s="125">
        <f>F582-F584</f>
        <v>23923.43</v>
      </c>
      <c r="H584" s="118">
        <f>SUM(G575:G584)</f>
        <v>311346.58</v>
      </c>
    </row>
    <row r="585" spans="1:9" x14ac:dyDescent="0.25">
      <c r="F585" s="128"/>
      <c r="G585" s="128"/>
      <c r="H585" s="128"/>
    </row>
    <row r="586" spans="1:9" x14ac:dyDescent="0.25">
      <c r="B586" s="137" t="s">
        <v>235</v>
      </c>
    </row>
    <row r="587" spans="1:9" x14ac:dyDescent="0.25">
      <c r="A587" s="134"/>
      <c r="B587" s="132" t="s">
        <v>2</v>
      </c>
      <c r="F587" s="118">
        <v>378105.54</v>
      </c>
    </row>
    <row r="588" spans="1:9" x14ac:dyDescent="0.25">
      <c r="B588" s="132" t="s">
        <v>3</v>
      </c>
      <c r="C588" s="132" t="s">
        <v>6</v>
      </c>
      <c r="F588" s="125">
        <v>0</v>
      </c>
      <c r="G588" s="118">
        <f>F587+F588</f>
        <v>378105.54</v>
      </c>
      <c r="H588" s="118">
        <v>0</v>
      </c>
    </row>
    <row r="589" spans="1:9" x14ac:dyDescent="0.25">
      <c r="B589" s="137" t="s">
        <v>277</v>
      </c>
    </row>
    <row r="590" spans="1:9" x14ac:dyDescent="0.25">
      <c r="B590" s="132" t="s">
        <v>2</v>
      </c>
      <c r="F590" s="118">
        <v>17301.71</v>
      </c>
      <c r="I590" s="128"/>
    </row>
    <row r="591" spans="1:9" x14ac:dyDescent="0.25">
      <c r="B591" s="132" t="s">
        <v>3</v>
      </c>
      <c r="C591" s="137" t="s">
        <v>6</v>
      </c>
    </row>
    <row r="592" spans="1:9" x14ac:dyDescent="0.25">
      <c r="C592" s="132" t="s">
        <v>7</v>
      </c>
      <c r="F592" s="125"/>
    </row>
    <row r="593" spans="2:10" x14ac:dyDescent="0.25">
      <c r="F593" s="118">
        <f>SUM(F590:F592)</f>
        <v>17301.71</v>
      </c>
    </row>
    <row r="594" spans="2:10" x14ac:dyDescent="0.25">
      <c r="B594" s="132" t="s">
        <v>4</v>
      </c>
      <c r="C594" s="137" t="s">
        <v>113</v>
      </c>
      <c r="F594" s="125">
        <v>3633</v>
      </c>
    </row>
    <row r="595" spans="2:10" x14ac:dyDescent="0.25">
      <c r="F595" s="118">
        <f>F593-F594</f>
        <v>13668.71</v>
      </c>
    </row>
    <row r="596" spans="2:10" x14ac:dyDescent="0.25">
      <c r="B596" s="132" t="s">
        <v>4</v>
      </c>
      <c r="C596" s="132" t="s">
        <v>184</v>
      </c>
    </row>
    <row r="597" spans="2:10" x14ac:dyDescent="0.25">
      <c r="C597" s="132" t="s">
        <v>165</v>
      </c>
      <c r="F597" s="125">
        <v>0</v>
      </c>
      <c r="G597" s="125">
        <f>F595-F597</f>
        <v>13668.71</v>
      </c>
      <c r="H597" s="118">
        <f>SUM(G588:G597)</f>
        <v>391774.25</v>
      </c>
    </row>
    <row r="598" spans="2:10" x14ac:dyDescent="0.25">
      <c r="F598" s="128"/>
      <c r="G598" s="128"/>
      <c r="H598" s="128"/>
    </row>
    <row r="599" spans="2:10" x14ac:dyDescent="0.25">
      <c r="B599" s="137" t="s">
        <v>93</v>
      </c>
    </row>
    <row r="600" spans="2:10" x14ac:dyDescent="0.25">
      <c r="B600" s="132" t="s">
        <v>2</v>
      </c>
      <c r="F600" s="118">
        <v>202768.76</v>
      </c>
    </row>
    <row r="601" spans="2:10" x14ac:dyDescent="0.25">
      <c r="B601" s="132" t="s">
        <v>3</v>
      </c>
      <c r="C601" s="132" t="s">
        <v>115</v>
      </c>
      <c r="F601" s="125">
        <v>300000</v>
      </c>
      <c r="G601" s="118">
        <f>SUM(F600:F601)</f>
        <v>502768.76</v>
      </c>
      <c r="I601" s="136"/>
      <c r="J601" s="136"/>
    </row>
    <row r="602" spans="2:10" x14ac:dyDescent="0.25">
      <c r="B602" s="137" t="s">
        <v>72</v>
      </c>
    </row>
    <row r="603" spans="2:10" x14ac:dyDescent="0.25">
      <c r="B603" s="132" t="s">
        <v>2</v>
      </c>
      <c r="F603" s="118">
        <v>8315.59</v>
      </c>
    </row>
    <row r="604" spans="2:10" x14ac:dyDescent="0.25">
      <c r="B604" s="132" t="s">
        <v>3</v>
      </c>
      <c r="C604" s="137" t="s">
        <v>6</v>
      </c>
    </row>
    <row r="605" spans="2:10" x14ac:dyDescent="0.25">
      <c r="C605" s="132" t="s">
        <v>7</v>
      </c>
      <c r="F605" s="125"/>
    </row>
    <row r="606" spans="2:10" x14ac:dyDescent="0.25">
      <c r="F606" s="118">
        <f>SUM(F603:F605)</f>
        <v>8315.59</v>
      </c>
    </row>
    <row r="607" spans="2:10" x14ac:dyDescent="0.25">
      <c r="B607" s="132" t="s">
        <v>4</v>
      </c>
      <c r="C607" s="137" t="s">
        <v>113</v>
      </c>
      <c r="F607" s="125"/>
    </row>
    <row r="608" spans="2:10" x14ac:dyDescent="0.25">
      <c r="F608" s="118">
        <f>F606-F607</f>
        <v>8315.59</v>
      </c>
    </row>
    <row r="609" spans="2:19" x14ac:dyDescent="0.25">
      <c r="B609" s="132" t="s">
        <v>4</v>
      </c>
      <c r="C609" s="132" t="s">
        <v>184</v>
      </c>
    </row>
    <row r="610" spans="2:19" x14ac:dyDescent="0.25">
      <c r="C610" s="132" t="s">
        <v>165</v>
      </c>
      <c r="F610" s="125">
        <v>0</v>
      </c>
      <c r="G610" s="125">
        <f>F608-F610</f>
        <v>8315.59</v>
      </c>
      <c r="H610" s="118">
        <f>SUM(G601:G610)</f>
        <v>511084.35000000003</v>
      </c>
    </row>
    <row r="611" spans="2:19" x14ac:dyDescent="0.25">
      <c r="F611" s="128"/>
      <c r="G611" s="128"/>
      <c r="H611" s="128"/>
    </row>
    <row r="612" spans="2:19" x14ac:dyDescent="0.25">
      <c r="B612" s="137" t="s">
        <v>117</v>
      </c>
    </row>
    <row r="613" spans="2:19" x14ac:dyDescent="0.25">
      <c r="B613" s="132" t="s">
        <v>2</v>
      </c>
      <c r="F613" s="118">
        <v>432659.37</v>
      </c>
    </row>
    <row r="614" spans="2:19" x14ac:dyDescent="0.25">
      <c r="B614" s="132" t="s">
        <v>3</v>
      </c>
      <c r="C614" s="132" t="s">
        <v>115</v>
      </c>
      <c r="F614" s="125">
        <v>0</v>
      </c>
      <c r="G614" s="118">
        <f>SUM(F613:F614)</f>
        <v>432659.37</v>
      </c>
    </row>
    <row r="615" spans="2:19" x14ac:dyDescent="0.25">
      <c r="B615" s="137" t="s">
        <v>118</v>
      </c>
    </row>
    <row r="616" spans="2:19" x14ac:dyDescent="0.25">
      <c r="B616" s="132" t="s">
        <v>2</v>
      </c>
      <c r="F616" s="118">
        <v>29591.599999999999</v>
      </c>
    </row>
    <row r="617" spans="2:19" x14ac:dyDescent="0.25">
      <c r="B617" s="132" t="s">
        <v>70</v>
      </c>
      <c r="C617" s="137" t="s">
        <v>6</v>
      </c>
      <c r="F617" s="118">
        <v>0</v>
      </c>
    </row>
    <row r="618" spans="2:19" x14ac:dyDescent="0.25">
      <c r="C618" s="132" t="s">
        <v>8</v>
      </c>
      <c r="F618" s="125">
        <v>0</v>
      </c>
    </row>
    <row r="619" spans="2:19" x14ac:dyDescent="0.25">
      <c r="F619" s="118">
        <f>SUM(F616:F618)</f>
        <v>29591.599999999999</v>
      </c>
    </row>
    <row r="620" spans="2:19" x14ac:dyDescent="0.25">
      <c r="B620" s="132" t="s">
        <v>4</v>
      </c>
      <c r="C620" s="137" t="s">
        <v>113</v>
      </c>
      <c r="F620" s="125">
        <v>0</v>
      </c>
    </row>
    <row r="621" spans="2:19" x14ac:dyDescent="0.25">
      <c r="F621" s="118">
        <f>F619-F620</f>
        <v>29591.599999999999</v>
      </c>
      <c r="J621" s="137"/>
      <c r="Q621" s="128"/>
      <c r="R621" s="128"/>
      <c r="S621" s="128"/>
    </row>
    <row r="622" spans="2:19" x14ac:dyDescent="0.25">
      <c r="B622" s="132" t="s">
        <v>4</v>
      </c>
      <c r="C622" s="132" t="s">
        <v>184</v>
      </c>
      <c r="Q622" s="128"/>
      <c r="R622" s="128"/>
      <c r="S622" s="128"/>
    </row>
    <row r="623" spans="2:19" x14ac:dyDescent="0.25">
      <c r="C623" s="132" t="s">
        <v>165</v>
      </c>
      <c r="F623" s="125"/>
      <c r="G623" s="125">
        <f>F621-F623</f>
        <v>29591.599999999999</v>
      </c>
      <c r="H623" s="118">
        <f>SUM(G614:G623)</f>
        <v>462250.97</v>
      </c>
      <c r="I623" s="187">
        <f>H623+H611+H610+H597+H584+H570+H558+H545+H531+H518+H505+H491+H478</f>
        <v>3270855.23</v>
      </c>
      <c r="K623" s="137"/>
      <c r="Q623" s="128"/>
      <c r="R623" s="128"/>
      <c r="S623" s="128"/>
    </row>
    <row r="624" spans="2:19" x14ac:dyDescent="0.25">
      <c r="F624" s="128"/>
      <c r="G624" s="128"/>
      <c r="H624" s="128"/>
      <c r="Q624" s="128"/>
      <c r="R624" s="128"/>
      <c r="S624" s="128"/>
    </row>
    <row r="625" spans="1:19" x14ac:dyDescent="0.25">
      <c r="F625" s="128"/>
      <c r="G625" s="128"/>
      <c r="H625" s="128"/>
      <c r="Q625" s="138"/>
      <c r="R625" s="128"/>
      <c r="S625" s="128"/>
    </row>
    <row r="626" spans="1:19" x14ac:dyDescent="0.25">
      <c r="A626" s="134" t="s">
        <v>608</v>
      </c>
      <c r="F626" s="128"/>
      <c r="G626" s="128"/>
      <c r="H626" s="128"/>
      <c r="K626" s="137"/>
      <c r="Q626" s="128"/>
      <c r="R626" s="128"/>
      <c r="S626" s="128"/>
    </row>
    <row r="627" spans="1:19" x14ac:dyDescent="0.25">
      <c r="B627" s="137"/>
      <c r="F627" s="128"/>
      <c r="G627" s="128"/>
      <c r="H627" s="128"/>
      <c r="Q627" s="128"/>
      <c r="R627" s="128"/>
      <c r="S627" s="128"/>
    </row>
    <row r="628" spans="1:19" x14ac:dyDescent="0.25">
      <c r="B628" s="137" t="s">
        <v>28</v>
      </c>
      <c r="Q628" s="128"/>
      <c r="R628" s="128"/>
      <c r="S628" s="128"/>
    </row>
    <row r="629" spans="1:19" x14ac:dyDescent="0.25">
      <c r="B629" s="132" t="s">
        <v>2</v>
      </c>
      <c r="F629" s="118">
        <v>269648.43</v>
      </c>
      <c r="Q629" s="128"/>
      <c r="R629" s="128"/>
      <c r="S629" s="128"/>
    </row>
    <row r="630" spans="1:19" x14ac:dyDescent="0.25">
      <c r="B630" s="132" t="s">
        <v>3</v>
      </c>
      <c r="C630" s="132" t="s">
        <v>115</v>
      </c>
      <c r="F630" s="125">
        <v>0</v>
      </c>
      <c r="G630" s="118">
        <f>SUM(F629:F630)</f>
        <v>269648.43</v>
      </c>
    </row>
    <row r="631" spans="1:19" x14ac:dyDescent="0.25">
      <c r="B631" s="137" t="s">
        <v>29</v>
      </c>
    </row>
    <row r="632" spans="1:19" x14ac:dyDescent="0.25">
      <c r="B632" s="132" t="s">
        <v>2</v>
      </c>
      <c r="F632" s="118">
        <v>23548.07</v>
      </c>
    </row>
    <row r="633" spans="1:19" x14ac:dyDescent="0.25">
      <c r="B633" s="132" t="s">
        <v>3</v>
      </c>
      <c r="C633" s="137" t="s">
        <v>6</v>
      </c>
    </row>
    <row r="634" spans="1:19" x14ac:dyDescent="0.25">
      <c r="C634" s="132" t="s">
        <v>7</v>
      </c>
      <c r="F634" s="125"/>
    </row>
    <row r="635" spans="1:19" x14ac:dyDescent="0.25">
      <c r="F635" s="118">
        <f>SUM(F632:F634)</f>
        <v>23548.07</v>
      </c>
    </row>
    <row r="636" spans="1:19" x14ac:dyDescent="0.25">
      <c r="B636" s="132" t="s">
        <v>4</v>
      </c>
      <c r="C636" s="137" t="s">
        <v>250</v>
      </c>
      <c r="F636" s="125"/>
    </row>
    <row r="637" spans="1:19" x14ac:dyDescent="0.25">
      <c r="F637" s="118">
        <f>F635-F636</f>
        <v>23548.07</v>
      </c>
    </row>
    <row r="638" spans="1:19" x14ac:dyDescent="0.25">
      <c r="B638" s="132" t="s">
        <v>4</v>
      </c>
      <c r="C638" s="132" t="s">
        <v>184</v>
      </c>
    </row>
    <row r="639" spans="1:19" x14ac:dyDescent="0.25">
      <c r="C639" s="132" t="s">
        <v>166</v>
      </c>
      <c r="F639" s="125">
        <v>0</v>
      </c>
      <c r="G639" s="125">
        <f>F637-F639</f>
        <v>23548.07</v>
      </c>
      <c r="H639" s="118">
        <f>SUM(G630:G639)</f>
        <v>293196.5</v>
      </c>
    </row>
    <row r="640" spans="1:19" x14ac:dyDescent="0.25">
      <c r="F640" s="128"/>
      <c r="G640" s="128"/>
      <c r="H640" s="128"/>
    </row>
    <row r="641" spans="2:8" x14ac:dyDescent="0.25">
      <c r="B641" s="137" t="s">
        <v>34</v>
      </c>
    </row>
    <row r="642" spans="2:8" x14ac:dyDescent="0.25">
      <c r="B642" s="132" t="s">
        <v>2</v>
      </c>
      <c r="F642" s="118">
        <v>562319.68999999994</v>
      </c>
    </row>
    <row r="643" spans="2:8" x14ac:dyDescent="0.25">
      <c r="B643" s="132" t="s">
        <v>3</v>
      </c>
      <c r="C643" s="132" t="s">
        <v>232</v>
      </c>
      <c r="F643" s="125">
        <v>0</v>
      </c>
      <c r="G643" s="118">
        <f>F642+F643</f>
        <v>562319.68999999994</v>
      </c>
    </row>
    <row r="644" spans="2:8" x14ac:dyDescent="0.25">
      <c r="B644" s="137" t="s">
        <v>35</v>
      </c>
    </row>
    <row r="645" spans="2:8" x14ac:dyDescent="0.25">
      <c r="B645" s="132" t="s">
        <v>2</v>
      </c>
      <c r="F645" s="118">
        <v>60499.13</v>
      </c>
    </row>
    <row r="646" spans="2:8" x14ac:dyDescent="0.25">
      <c r="B646" s="132" t="s">
        <v>3</v>
      </c>
      <c r="C646" s="137" t="s">
        <v>6</v>
      </c>
    </row>
    <row r="647" spans="2:8" x14ac:dyDescent="0.25">
      <c r="C647" s="132" t="s">
        <v>8</v>
      </c>
      <c r="F647" s="125"/>
    </row>
    <row r="648" spans="2:8" x14ac:dyDescent="0.25">
      <c r="F648" s="118">
        <f>F645+F647</f>
        <v>60499.13</v>
      </c>
    </row>
    <row r="649" spans="2:8" x14ac:dyDescent="0.25">
      <c r="B649" s="132" t="s">
        <v>4</v>
      </c>
      <c r="C649" s="137" t="s">
        <v>292</v>
      </c>
    </row>
    <row r="650" spans="2:8" x14ac:dyDescent="0.25">
      <c r="F650" s="118">
        <f>F648-F649</f>
        <v>60499.13</v>
      </c>
    </row>
    <row r="651" spans="2:8" x14ac:dyDescent="0.25">
      <c r="B651" s="132" t="s">
        <v>4</v>
      </c>
      <c r="C651" s="132" t="s">
        <v>184</v>
      </c>
    </row>
    <row r="652" spans="2:8" x14ac:dyDescent="0.25">
      <c r="C652" s="132" t="s">
        <v>166</v>
      </c>
      <c r="F652" s="125">
        <v>0</v>
      </c>
      <c r="G652" s="125">
        <f>F650-F652</f>
        <v>60499.13</v>
      </c>
      <c r="H652" s="118">
        <f>SUM(G643:G652)</f>
        <v>622818.81999999995</v>
      </c>
    </row>
    <row r="653" spans="2:8" x14ac:dyDescent="0.25">
      <c r="F653" s="128"/>
      <c r="G653" s="128"/>
      <c r="H653" s="128"/>
    </row>
    <row r="654" spans="2:8" x14ac:dyDescent="0.25">
      <c r="C654" s="137"/>
      <c r="F654" s="183"/>
      <c r="G654" s="128"/>
      <c r="H654" s="128"/>
    </row>
    <row r="655" spans="2:8" x14ac:dyDescent="0.25">
      <c r="B655" s="137" t="s">
        <v>38</v>
      </c>
    </row>
    <row r="656" spans="2:8" x14ac:dyDescent="0.25">
      <c r="B656" s="132" t="s">
        <v>2</v>
      </c>
      <c r="F656" s="118">
        <v>800198.61</v>
      </c>
    </row>
    <row r="657" spans="1:9" x14ac:dyDescent="0.25">
      <c r="B657" s="132" t="s">
        <v>3</v>
      </c>
      <c r="C657" s="132" t="s">
        <v>115</v>
      </c>
      <c r="F657" s="118">
        <v>0</v>
      </c>
    </row>
    <row r="658" spans="1:9" x14ac:dyDescent="0.25">
      <c r="F658" s="125">
        <v>0</v>
      </c>
      <c r="G658" s="118">
        <f>F656+F657+F658</f>
        <v>800198.61</v>
      </c>
    </row>
    <row r="659" spans="1:9" x14ac:dyDescent="0.25">
      <c r="B659" s="137" t="s">
        <v>39</v>
      </c>
    </row>
    <row r="660" spans="1:9" x14ac:dyDescent="0.25">
      <c r="B660" s="132" t="s">
        <v>2</v>
      </c>
      <c r="F660" s="118">
        <v>86092.160000000003</v>
      </c>
      <c r="I660" s="187">
        <f>H667+H652+H639</f>
        <v>1802306.0899999999</v>
      </c>
    </row>
    <row r="661" spans="1:9" x14ac:dyDescent="0.25">
      <c r="B661" s="132" t="s">
        <v>3</v>
      </c>
      <c r="C661" s="137" t="s">
        <v>6</v>
      </c>
    </row>
    <row r="662" spans="1:9" x14ac:dyDescent="0.25">
      <c r="C662" s="132" t="s">
        <v>7</v>
      </c>
      <c r="F662" s="125"/>
    </row>
    <row r="663" spans="1:9" x14ac:dyDescent="0.25">
      <c r="F663" s="118">
        <f>SUM(F660:F662)</f>
        <v>86092.160000000003</v>
      </c>
    </row>
    <row r="664" spans="1:9" x14ac:dyDescent="0.25">
      <c r="B664" s="132" t="s">
        <v>4</v>
      </c>
      <c r="C664" s="137" t="s">
        <v>373</v>
      </c>
      <c r="F664" s="125"/>
      <c r="I664" s="128"/>
    </row>
    <row r="665" spans="1:9" x14ac:dyDescent="0.25">
      <c r="F665" s="118">
        <f>F663-F664</f>
        <v>86092.160000000003</v>
      </c>
    </row>
    <row r="666" spans="1:9" x14ac:dyDescent="0.25">
      <c r="B666" s="132" t="s">
        <v>4</v>
      </c>
      <c r="C666" s="132" t="s">
        <v>184</v>
      </c>
    </row>
    <row r="667" spans="1:9" x14ac:dyDescent="0.25">
      <c r="C667" s="132" t="s">
        <v>165</v>
      </c>
      <c r="F667" s="125">
        <v>0</v>
      </c>
      <c r="G667" s="125">
        <f>F665-F667</f>
        <v>86092.160000000003</v>
      </c>
      <c r="H667" s="118">
        <f>SUM(G657:G667)</f>
        <v>886290.77</v>
      </c>
    </row>
    <row r="668" spans="1:9" x14ac:dyDescent="0.25">
      <c r="F668" s="128"/>
      <c r="G668" s="128"/>
      <c r="H668" s="128"/>
    </row>
    <row r="669" spans="1:9" x14ac:dyDescent="0.25">
      <c r="A669" s="134" t="s">
        <v>609</v>
      </c>
      <c r="C669" s="137"/>
      <c r="F669" s="128"/>
      <c r="G669" s="138"/>
      <c r="H669" s="128"/>
    </row>
    <row r="670" spans="1:9" x14ac:dyDescent="0.25">
      <c r="C670" s="137"/>
      <c r="F670" s="128"/>
      <c r="G670" s="128"/>
      <c r="H670" s="128"/>
    </row>
    <row r="671" spans="1:9" x14ac:dyDescent="0.25">
      <c r="B671" s="137" t="s">
        <v>159</v>
      </c>
    </row>
    <row r="672" spans="1:9" x14ac:dyDescent="0.25">
      <c r="B672" s="132" t="s">
        <v>2</v>
      </c>
      <c r="F672" s="118">
        <v>527168.57999999996</v>
      </c>
    </row>
    <row r="673" spans="1:10" x14ac:dyDescent="0.25">
      <c r="B673" s="132" t="s">
        <v>3</v>
      </c>
      <c r="C673" s="132" t="s">
        <v>115</v>
      </c>
      <c r="F673" s="125">
        <v>0</v>
      </c>
      <c r="G673" s="118">
        <f>F672+F673</f>
        <v>527168.57999999996</v>
      </c>
    </row>
    <row r="674" spans="1:10" x14ac:dyDescent="0.25">
      <c r="B674" s="137" t="s">
        <v>158</v>
      </c>
    </row>
    <row r="675" spans="1:10" x14ac:dyDescent="0.25">
      <c r="B675" s="132" t="s">
        <v>2</v>
      </c>
      <c r="F675" s="118">
        <v>14066.01</v>
      </c>
    </row>
    <row r="676" spans="1:10" x14ac:dyDescent="0.25">
      <c r="B676" s="132" t="s">
        <v>70</v>
      </c>
      <c r="C676" s="137" t="s">
        <v>6</v>
      </c>
    </row>
    <row r="677" spans="1:10" x14ac:dyDescent="0.25">
      <c r="C677" s="132" t="s">
        <v>8</v>
      </c>
      <c r="F677" s="125"/>
    </row>
    <row r="678" spans="1:10" x14ac:dyDescent="0.25">
      <c r="F678" s="127"/>
    </row>
    <row r="679" spans="1:10" x14ac:dyDescent="0.25">
      <c r="B679" s="132" t="s">
        <v>4</v>
      </c>
      <c r="C679" s="137" t="s">
        <v>236</v>
      </c>
      <c r="F679" s="125"/>
      <c r="J679" s="138"/>
    </row>
    <row r="680" spans="1:10" x14ac:dyDescent="0.25">
      <c r="F680" s="118">
        <f>F675+F677-F679</f>
        <v>14066.01</v>
      </c>
    </row>
    <row r="681" spans="1:10" x14ac:dyDescent="0.25">
      <c r="B681" s="132" t="s">
        <v>4</v>
      </c>
      <c r="C681" s="132" t="s">
        <v>288</v>
      </c>
    </row>
    <row r="682" spans="1:10" x14ac:dyDescent="0.25">
      <c r="C682" s="132" t="s">
        <v>264</v>
      </c>
      <c r="F682" s="125"/>
      <c r="G682" s="125">
        <f>F680+F682</f>
        <v>14066.01</v>
      </c>
      <c r="H682" s="118">
        <f>SUM(G673:G682)</f>
        <v>541234.59</v>
      </c>
    </row>
    <row r="683" spans="1:10" x14ac:dyDescent="0.25">
      <c r="F683" s="128"/>
      <c r="G683" s="128"/>
      <c r="H683" s="128"/>
    </row>
    <row r="684" spans="1:10" x14ac:dyDescent="0.25">
      <c r="F684" s="128"/>
      <c r="G684" s="128"/>
      <c r="H684" s="128"/>
    </row>
    <row r="685" spans="1:10" x14ac:dyDescent="0.25">
      <c r="A685" s="134" t="s">
        <v>610</v>
      </c>
      <c r="F685" s="128"/>
      <c r="G685" s="128"/>
      <c r="H685" s="128"/>
    </row>
    <row r="686" spans="1:10" x14ac:dyDescent="0.25">
      <c r="F686" s="128"/>
      <c r="G686" s="128"/>
      <c r="H686" s="128"/>
    </row>
    <row r="687" spans="1:10" x14ac:dyDescent="0.25">
      <c r="B687" s="137" t="s">
        <v>188</v>
      </c>
    </row>
    <row r="688" spans="1:10" x14ac:dyDescent="0.25">
      <c r="B688" s="132" t="s">
        <v>2</v>
      </c>
      <c r="F688" s="118">
        <v>220886.34</v>
      </c>
    </row>
    <row r="689" spans="1:8" x14ac:dyDescent="0.25">
      <c r="B689" s="132" t="s">
        <v>3</v>
      </c>
      <c r="C689" s="132" t="s">
        <v>261</v>
      </c>
    </row>
    <row r="690" spans="1:8" x14ac:dyDescent="0.25">
      <c r="C690" s="132" t="s">
        <v>262</v>
      </c>
      <c r="F690" s="118">
        <v>0</v>
      </c>
      <c r="G690" s="118">
        <f>SUM(F688:F690)</f>
        <v>220886.34</v>
      </c>
    </row>
    <row r="691" spans="1:8" x14ac:dyDescent="0.25">
      <c r="B691" s="137" t="s">
        <v>189</v>
      </c>
    </row>
    <row r="692" spans="1:8" x14ac:dyDescent="0.25">
      <c r="B692" s="132" t="s">
        <v>2</v>
      </c>
      <c r="F692" s="118">
        <v>16676.27</v>
      </c>
    </row>
    <row r="693" spans="1:8" x14ac:dyDescent="0.25">
      <c r="B693" s="132" t="s">
        <v>3</v>
      </c>
      <c r="C693" s="137" t="s">
        <v>6</v>
      </c>
      <c r="D693" s="137"/>
    </row>
    <row r="694" spans="1:8" x14ac:dyDescent="0.25">
      <c r="C694" s="132" t="s">
        <v>8</v>
      </c>
      <c r="F694" s="125"/>
    </row>
    <row r="695" spans="1:8" x14ac:dyDescent="0.25">
      <c r="F695" s="118">
        <f>-F692-F693+F694</f>
        <v>-16676.27</v>
      </c>
    </row>
    <row r="696" spans="1:8" x14ac:dyDescent="0.25">
      <c r="B696" s="132" t="s">
        <v>4</v>
      </c>
      <c r="C696" s="137" t="s">
        <v>190</v>
      </c>
      <c r="D696" s="137"/>
      <c r="F696" s="125">
        <v>10000</v>
      </c>
    </row>
    <row r="697" spans="1:8" x14ac:dyDescent="0.25">
      <c r="F697" s="118">
        <f>F695-F696</f>
        <v>-26676.27</v>
      </c>
    </row>
    <row r="698" spans="1:8" x14ac:dyDescent="0.25">
      <c r="B698" s="132" t="s">
        <v>4</v>
      </c>
      <c r="C698" s="132" t="s">
        <v>242</v>
      </c>
      <c r="F698" s="125"/>
      <c r="G698" s="125">
        <f>F697+F698</f>
        <v>-26676.27</v>
      </c>
      <c r="H698" s="118">
        <f>SUM(G690:G698)</f>
        <v>194210.07</v>
      </c>
    </row>
    <row r="699" spans="1:8" x14ac:dyDescent="0.25">
      <c r="F699" s="128"/>
      <c r="G699" s="128"/>
      <c r="H699" s="128"/>
    </row>
    <row r="700" spans="1:8" x14ac:dyDescent="0.25">
      <c r="B700" s="137"/>
      <c r="F700" s="128"/>
      <c r="G700" s="128"/>
      <c r="H700" s="128"/>
    </row>
    <row r="701" spans="1:8" x14ac:dyDescent="0.25">
      <c r="A701" s="134" t="s">
        <v>611</v>
      </c>
      <c r="F701" s="128"/>
      <c r="G701" s="128"/>
      <c r="H701" s="128"/>
    </row>
    <row r="702" spans="1:8" x14ac:dyDescent="0.25">
      <c r="F702" s="128"/>
      <c r="G702" s="128"/>
      <c r="H702" s="128"/>
    </row>
    <row r="703" spans="1:8" x14ac:dyDescent="0.25">
      <c r="B703" s="137" t="s">
        <v>366</v>
      </c>
    </row>
    <row r="704" spans="1:8" x14ac:dyDescent="0.25">
      <c r="B704" s="132" t="s">
        <v>2</v>
      </c>
      <c r="F704" s="118">
        <v>13311.26</v>
      </c>
    </row>
    <row r="705" spans="2:8" x14ac:dyDescent="0.25">
      <c r="B705" s="132" t="s">
        <v>3</v>
      </c>
      <c r="C705" s="137" t="s">
        <v>6</v>
      </c>
      <c r="F705" s="129"/>
    </row>
    <row r="706" spans="2:8" x14ac:dyDescent="0.25">
      <c r="C706" s="132" t="s">
        <v>8</v>
      </c>
      <c r="F706" s="125">
        <v>0</v>
      </c>
    </row>
    <row r="707" spans="2:8" x14ac:dyDescent="0.25">
      <c r="F707" s="118">
        <f>F705+F706+F704</f>
        <v>13311.26</v>
      </c>
    </row>
    <row r="708" spans="2:8" x14ac:dyDescent="0.25">
      <c r="B708" s="132" t="s">
        <v>4</v>
      </c>
      <c r="C708" s="137" t="s">
        <v>5</v>
      </c>
      <c r="F708" s="125"/>
    </row>
    <row r="709" spans="2:8" x14ac:dyDescent="0.25">
      <c r="F709" s="118">
        <f>F707-F708</f>
        <v>13311.26</v>
      </c>
    </row>
    <row r="710" spans="2:8" x14ac:dyDescent="0.25">
      <c r="B710" s="132" t="s">
        <v>4</v>
      </c>
      <c r="C710" s="132" t="s">
        <v>184</v>
      </c>
    </row>
    <row r="711" spans="2:8" x14ac:dyDescent="0.25">
      <c r="C711" s="132" t="s">
        <v>165</v>
      </c>
      <c r="F711" s="125"/>
      <c r="G711" s="118">
        <f>F709-F711</f>
        <v>13311.26</v>
      </c>
      <c r="H711" s="118">
        <f>G711</f>
        <v>13311.26</v>
      </c>
    </row>
    <row r="712" spans="2:8" x14ac:dyDescent="0.25">
      <c r="C712" s="137"/>
      <c r="F712" s="128"/>
      <c r="G712" s="128"/>
      <c r="H712" s="128"/>
    </row>
    <row r="713" spans="2:8" x14ac:dyDescent="0.25">
      <c r="B713" s="137" t="s">
        <v>127</v>
      </c>
    </row>
    <row r="714" spans="2:8" x14ac:dyDescent="0.25">
      <c r="B714" s="132" t="s">
        <v>2</v>
      </c>
      <c r="F714" s="118">
        <v>6597557.1900000004</v>
      </c>
    </row>
    <row r="715" spans="2:8" x14ac:dyDescent="0.25">
      <c r="B715" s="132" t="s">
        <v>3</v>
      </c>
      <c r="C715" s="132" t="s">
        <v>263</v>
      </c>
    </row>
    <row r="716" spans="2:8" x14ac:dyDescent="0.25">
      <c r="C716" s="132" t="s">
        <v>264</v>
      </c>
      <c r="F716" s="118">
        <f>'[1]Inc. Exp'!$F$40</f>
        <v>0</v>
      </c>
    </row>
    <row r="717" spans="2:8" x14ac:dyDescent="0.25">
      <c r="B717" s="132" t="s">
        <v>3</v>
      </c>
      <c r="C717" s="132" t="s">
        <v>115</v>
      </c>
      <c r="F717" s="118">
        <v>0</v>
      </c>
    </row>
    <row r="719" spans="2:8" x14ac:dyDescent="0.25">
      <c r="B719" s="132" t="s">
        <v>4</v>
      </c>
      <c r="C719" s="137" t="s">
        <v>247</v>
      </c>
      <c r="F719" s="118">
        <v>0</v>
      </c>
      <c r="G719" s="132"/>
    </row>
    <row r="720" spans="2:8" x14ac:dyDescent="0.25">
      <c r="B720" s="132" t="s">
        <v>109</v>
      </c>
      <c r="C720" s="132" t="s">
        <v>227</v>
      </c>
      <c r="F720" s="118">
        <v>0</v>
      </c>
      <c r="G720" s="132"/>
    </row>
    <row r="721" spans="2:9" x14ac:dyDescent="0.25">
      <c r="C721" s="132" t="s">
        <v>179</v>
      </c>
      <c r="F721" s="118">
        <v>0</v>
      </c>
      <c r="G721" s="132"/>
    </row>
    <row r="722" spans="2:9" x14ac:dyDescent="0.25">
      <c r="B722" s="132" t="s">
        <v>331</v>
      </c>
      <c r="C722" s="132" t="s">
        <v>337</v>
      </c>
      <c r="F722" s="125">
        <v>5897557.1900000004</v>
      </c>
      <c r="G722" s="118">
        <f>F714-F722+F721+F716</f>
        <v>700000</v>
      </c>
    </row>
    <row r="724" spans="2:9" x14ac:dyDescent="0.25">
      <c r="B724" s="137" t="s">
        <v>128</v>
      </c>
    </row>
    <row r="725" spans="2:9" x14ac:dyDescent="0.25">
      <c r="B725" s="132" t="s">
        <v>2</v>
      </c>
    </row>
    <row r="726" spans="2:9" x14ac:dyDescent="0.25">
      <c r="B726" s="132" t="s">
        <v>3</v>
      </c>
      <c r="C726" s="137" t="s">
        <v>6</v>
      </c>
      <c r="F726" s="118">
        <v>0</v>
      </c>
    </row>
    <row r="727" spans="2:9" x14ac:dyDescent="0.25">
      <c r="C727" s="132" t="s">
        <v>8</v>
      </c>
      <c r="F727" s="125"/>
    </row>
    <row r="728" spans="2:9" x14ac:dyDescent="0.25">
      <c r="F728" s="118">
        <f>F725+F726+F727</f>
        <v>0</v>
      </c>
    </row>
    <row r="729" spans="2:9" x14ac:dyDescent="0.25">
      <c r="B729" s="132" t="s">
        <v>4</v>
      </c>
      <c r="C729" s="137" t="s">
        <v>5</v>
      </c>
      <c r="F729" s="125"/>
    </row>
    <row r="730" spans="2:9" x14ac:dyDescent="0.25">
      <c r="F730" s="118">
        <f>F728-F729</f>
        <v>0</v>
      </c>
    </row>
    <row r="731" spans="2:9" x14ac:dyDescent="0.25">
      <c r="B731" s="132" t="s">
        <v>4</v>
      </c>
      <c r="C731" s="132" t="s">
        <v>184</v>
      </c>
    </row>
    <row r="732" spans="2:9" x14ac:dyDescent="0.25">
      <c r="C732" s="132" t="s">
        <v>165</v>
      </c>
      <c r="F732" s="125">
        <v>0</v>
      </c>
      <c r="G732" s="125">
        <f>F730+F732</f>
        <v>0</v>
      </c>
      <c r="H732" s="118">
        <f>SUM(G722:G732)</f>
        <v>700000</v>
      </c>
    </row>
    <row r="733" spans="2:9" x14ac:dyDescent="0.25">
      <c r="F733" s="128"/>
      <c r="G733" s="128"/>
      <c r="H733" s="128"/>
    </row>
    <row r="734" spans="2:9" x14ac:dyDescent="0.25">
      <c r="B734" s="137" t="s">
        <v>513</v>
      </c>
    </row>
    <row r="735" spans="2:9" x14ac:dyDescent="0.25">
      <c r="B735" s="132" t="s">
        <v>2</v>
      </c>
      <c r="F735" s="118">
        <v>3000000</v>
      </c>
      <c r="I735" s="187">
        <f>F735+F738</f>
        <v>4545000</v>
      </c>
    </row>
    <row r="736" spans="2:9" x14ac:dyDescent="0.25">
      <c r="B736" s="132" t="s">
        <v>3</v>
      </c>
      <c r="C736" s="137" t="s">
        <v>6</v>
      </c>
    </row>
    <row r="737" spans="2:11" x14ac:dyDescent="0.25">
      <c r="C737" s="137" t="s">
        <v>318</v>
      </c>
      <c r="J737" s="132">
        <v>3335874</v>
      </c>
    </row>
    <row r="738" spans="2:11" x14ac:dyDescent="0.25">
      <c r="B738" s="132" t="s">
        <v>4</v>
      </c>
      <c r="C738" s="137" t="s">
        <v>5</v>
      </c>
      <c r="F738" s="125">
        <v>1545000</v>
      </c>
      <c r="G738" s="118">
        <f>F735+F736-F738</f>
        <v>1455000</v>
      </c>
      <c r="J738" s="132">
        <v>1</v>
      </c>
    </row>
    <row r="739" spans="2:11" x14ac:dyDescent="0.25">
      <c r="I739" s="132">
        <f>1545000</f>
        <v>1545000</v>
      </c>
    </row>
    <row r="740" spans="2:11" x14ac:dyDescent="0.25">
      <c r="B740" s="137" t="s">
        <v>514</v>
      </c>
    </row>
    <row r="741" spans="2:11" x14ac:dyDescent="0.25">
      <c r="B741" s="132" t="s">
        <v>2</v>
      </c>
    </row>
    <row r="742" spans="2:11" x14ac:dyDescent="0.25">
      <c r="B742" s="132" t="s">
        <v>3</v>
      </c>
      <c r="C742" s="137" t="s">
        <v>6</v>
      </c>
      <c r="F742" s="129"/>
    </row>
    <row r="743" spans="2:11" x14ac:dyDescent="0.25">
      <c r="C743" s="132" t="s">
        <v>8</v>
      </c>
      <c r="F743" s="125"/>
    </row>
    <row r="744" spans="2:11" x14ac:dyDescent="0.25">
      <c r="F744" s="118">
        <f>SUM(F741:F743)</f>
        <v>0</v>
      </c>
      <c r="I744" s="132">
        <v>1455000</v>
      </c>
      <c r="J744" s="187">
        <f>H748-I744</f>
        <v>0</v>
      </c>
    </row>
    <row r="745" spans="2:11" x14ac:dyDescent="0.25">
      <c r="B745" s="132" t="s">
        <v>4</v>
      </c>
      <c r="C745" s="137" t="s">
        <v>379</v>
      </c>
      <c r="F745" s="125"/>
    </row>
    <row r="746" spans="2:11" x14ac:dyDescent="0.25">
      <c r="F746" s="118">
        <f>F744-F745</f>
        <v>0</v>
      </c>
    </row>
    <row r="747" spans="2:11" x14ac:dyDescent="0.25">
      <c r="B747" s="132" t="s">
        <v>4</v>
      </c>
      <c r="C747" s="132" t="s">
        <v>184</v>
      </c>
    </row>
    <row r="748" spans="2:11" x14ac:dyDescent="0.25">
      <c r="C748" s="132" t="s">
        <v>165</v>
      </c>
      <c r="F748" s="125">
        <v>0</v>
      </c>
      <c r="G748" s="125">
        <f>F746-F748</f>
        <v>0</v>
      </c>
      <c r="H748" s="118">
        <f>G738+G748</f>
        <v>1455000</v>
      </c>
    </row>
    <row r="749" spans="2:11" x14ac:dyDescent="0.25">
      <c r="F749" s="128"/>
      <c r="G749" s="128"/>
      <c r="H749" s="128"/>
    </row>
    <row r="750" spans="2:11" x14ac:dyDescent="0.25">
      <c r="B750" s="137" t="s">
        <v>521</v>
      </c>
    </row>
    <row r="751" spans="2:11" x14ac:dyDescent="0.25">
      <c r="B751" s="132" t="s">
        <v>2</v>
      </c>
    </row>
    <row r="752" spans="2:11" x14ac:dyDescent="0.25">
      <c r="B752" s="132" t="s">
        <v>3</v>
      </c>
      <c r="C752" s="137" t="s">
        <v>6</v>
      </c>
      <c r="F752" s="124">
        <v>1500000</v>
      </c>
      <c r="I752" s="128"/>
      <c r="J752" s="128"/>
      <c r="K752" s="128"/>
    </row>
    <row r="753" spans="2:11" x14ac:dyDescent="0.25">
      <c r="C753" s="137" t="s">
        <v>318</v>
      </c>
      <c r="I753" s="183"/>
      <c r="J753" s="128"/>
      <c r="K753" s="128"/>
    </row>
    <row r="754" spans="2:11" x14ac:dyDescent="0.25">
      <c r="B754" s="132" t="s">
        <v>4</v>
      </c>
      <c r="C754" s="137" t="s">
        <v>5</v>
      </c>
      <c r="F754" s="125">
        <v>1210215.79</v>
      </c>
      <c r="G754" s="118">
        <f>F751+F752-F754</f>
        <v>289784.20999999996</v>
      </c>
      <c r="I754" s="128"/>
      <c r="J754" s="128"/>
      <c r="K754" s="128"/>
    </row>
    <row r="755" spans="2:11" x14ac:dyDescent="0.25">
      <c r="I755" s="128">
        <v>1210215.79</v>
      </c>
      <c r="J755" s="128"/>
      <c r="K755" s="128"/>
    </row>
    <row r="756" spans="2:11" x14ac:dyDescent="0.25">
      <c r="B756" s="137" t="s">
        <v>535</v>
      </c>
      <c r="I756" s="128">
        <f>I755+J756</f>
        <v>1300000</v>
      </c>
      <c r="J756" s="128">
        <v>89784.21</v>
      </c>
      <c r="K756" s="128"/>
    </row>
    <row r="757" spans="2:11" x14ac:dyDescent="0.25">
      <c r="B757" s="132" t="s">
        <v>2</v>
      </c>
      <c r="I757" s="128"/>
      <c r="J757" s="128">
        <f>F754-J756</f>
        <v>1120431.58</v>
      </c>
      <c r="K757" s="128"/>
    </row>
    <row r="758" spans="2:11" x14ac:dyDescent="0.25">
      <c r="B758" s="132" t="s">
        <v>3</v>
      </c>
      <c r="C758" s="137" t="s">
        <v>6</v>
      </c>
      <c r="F758" s="129"/>
      <c r="I758" s="128"/>
      <c r="J758" s="128"/>
      <c r="K758" s="128"/>
    </row>
    <row r="759" spans="2:11" x14ac:dyDescent="0.25">
      <c r="C759" s="132" t="s">
        <v>8</v>
      </c>
      <c r="F759" s="125"/>
      <c r="I759" s="128"/>
      <c r="J759" s="128"/>
      <c r="K759" s="128"/>
    </row>
    <row r="760" spans="2:11" x14ac:dyDescent="0.25">
      <c r="F760" s="118">
        <f>SUM(F757:F759)</f>
        <v>0</v>
      </c>
    </row>
    <row r="761" spans="2:11" x14ac:dyDescent="0.25">
      <c r="B761" s="132" t="s">
        <v>4</v>
      </c>
      <c r="C761" s="137" t="s">
        <v>379</v>
      </c>
      <c r="F761" s="125">
        <v>89784.21</v>
      </c>
    </row>
    <row r="762" spans="2:11" x14ac:dyDescent="0.25">
      <c r="F762" s="118">
        <f>F760-F761</f>
        <v>-89784.21</v>
      </c>
    </row>
    <row r="763" spans="2:11" x14ac:dyDescent="0.25">
      <c r="B763" s="132" t="s">
        <v>4</v>
      </c>
      <c r="C763" s="132" t="s">
        <v>184</v>
      </c>
    </row>
    <row r="764" spans="2:11" x14ac:dyDescent="0.25">
      <c r="C764" s="132" t="s">
        <v>165</v>
      </c>
      <c r="F764" s="125">
        <v>0</v>
      </c>
      <c r="G764" s="125">
        <f>F762-F764</f>
        <v>-89784.21</v>
      </c>
      <c r="H764" s="118">
        <f>G754+G764</f>
        <v>199999.99999999994</v>
      </c>
    </row>
    <row r="765" spans="2:11" x14ac:dyDescent="0.25">
      <c r="F765" s="128"/>
      <c r="G765" s="128"/>
      <c r="H765" s="128"/>
    </row>
    <row r="766" spans="2:11" x14ac:dyDescent="0.25">
      <c r="B766" s="137" t="s">
        <v>106</v>
      </c>
      <c r="F766" s="132"/>
      <c r="I766" s="118"/>
      <c r="J766" s="132">
        <v>1545470.35</v>
      </c>
    </row>
    <row r="767" spans="2:11" x14ac:dyDescent="0.25">
      <c r="B767" s="132" t="s">
        <v>2</v>
      </c>
      <c r="F767" s="118">
        <f>1545470.35-5760</f>
        <v>1539710.35</v>
      </c>
      <c r="I767" s="118"/>
    </row>
    <row r="768" spans="2:11" x14ac:dyDescent="0.25">
      <c r="B768" s="132" t="s">
        <v>109</v>
      </c>
      <c r="C768" s="132" t="s">
        <v>227</v>
      </c>
      <c r="I768" s="118">
        <f>F767-I771</f>
        <v>-998293.14000000013</v>
      </c>
    </row>
    <row r="769" spans="2:10" x14ac:dyDescent="0.25">
      <c r="C769" s="132" t="s">
        <v>318</v>
      </c>
      <c r="I769" s="118"/>
    </row>
    <row r="770" spans="2:10" x14ac:dyDescent="0.25">
      <c r="B770" s="132" t="s">
        <v>3</v>
      </c>
      <c r="C770" s="137" t="s">
        <v>6</v>
      </c>
      <c r="F770" s="118">
        <v>0</v>
      </c>
      <c r="I770" s="118"/>
    </row>
    <row r="771" spans="2:10" x14ac:dyDescent="0.25">
      <c r="C771" s="132" t="s">
        <v>104</v>
      </c>
      <c r="I771" s="118">
        <v>2538003.4900000002</v>
      </c>
    </row>
    <row r="772" spans="2:10" x14ac:dyDescent="0.25">
      <c r="B772" s="132" t="s">
        <v>4</v>
      </c>
      <c r="C772" s="132" t="s">
        <v>336</v>
      </c>
      <c r="F772" s="125">
        <v>242057</v>
      </c>
      <c r="G772" s="118">
        <f>F767+F769+F771+-F772</f>
        <v>1297653.3500000001</v>
      </c>
      <c r="I772" s="118"/>
    </row>
    <row r="773" spans="2:10" x14ac:dyDescent="0.25">
      <c r="E773" s="135"/>
      <c r="H773" s="118">
        <f>G772</f>
        <v>1297653.3500000001</v>
      </c>
      <c r="I773" s="118">
        <f>J775-H773-H782</f>
        <v>5760</v>
      </c>
    </row>
    <row r="774" spans="2:10" x14ac:dyDescent="0.25">
      <c r="B774" s="137" t="s">
        <v>171</v>
      </c>
      <c r="I774" s="118"/>
    </row>
    <row r="775" spans="2:10" x14ac:dyDescent="0.25">
      <c r="B775" s="132" t="s">
        <v>2</v>
      </c>
      <c r="F775" s="118">
        <v>25861.119999999999</v>
      </c>
      <c r="J775" s="132">
        <v>1343013.35</v>
      </c>
    </row>
    <row r="776" spans="2:10" x14ac:dyDescent="0.25">
      <c r="B776" s="132" t="s">
        <v>3</v>
      </c>
      <c r="C776" s="132" t="s">
        <v>104</v>
      </c>
    </row>
    <row r="777" spans="2:10" x14ac:dyDescent="0.25">
      <c r="B777" s="132" t="s">
        <v>3</v>
      </c>
      <c r="C777" s="137" t="s">
        <v>107</v>
      </c>
      <c r="F777" s="125">
        <v>39600</v>
      </c>
      <c r="I777" s="132">
        <v>242057</v>
      </c>
    </row>
    <row r="778" spans="2:10" x14ac:dyDescent="0.25">
      <c r="C778" s="137" t="s">
        <v>185</v>
      </c>
      <c r="F778" s="118">
        <f>SUM(F775:F777)</f>
        <v>65461.119999999995</v>
      </c>
    </row>
    <row r="779" spans="2:10" x14ac:dyDescent="0.25">
      <c r="B779" s="132" t="s">
        <v>4</v>
      </c>
      <c r="C779" s="137" t="s">
        <v>236</v>
      </c>
      <c r="F779" s="125">
        <v>25861.119999999999</v>
      </c>
      <c r="G779" s="118" t="s">
        <v>489</v>
      </c>
      <c r="I779" s="187">
        <v>1345917.35</v>
      </c>
    </row>
    <row r="780" spans="2:10" x14ac:dyDescent="0.25">
      <c r="F780" s="118">
        <f>F778-F779</f>
        <v>39600</v>
      </c>
      <c r="J780" s="187"/>
    </row>
    <row r="781" spans="2:10" x14ac:dyDescent="0.25">
      <c r="B781" s="132" t="s">
        <v>4</v>
      </c>
      <c r="C781" s="132" t="s">
        <v>328</v>
      </c>
      <c r="J781" s="132">
        <v>1337253.3500000001</v>
      </c>
    </row>
    <row r="782" spans="2:10" x14ac:dyDescent="0.25">
      <c r="F782" s="125"/>
      <c r="G782" s="125">
        <f>F780+F781</f>
        <v>39600</v>
      </c>
      <c r="H782" s="118">
        <f>G782</f>
        <v>39600</v>
      </c>
      <c r="J782" s="132">
        <f>J781-J775</f>
        <v>-5760</v>
      </c>
    </row>
    <row r="783" spans="2:10" x14ac:dyDescent="0.25">
      <c r="C783" s="137"/>
      <c r="F783" s="128"/>
      <c r="G783" s="128"/>
      <c r="H783" s="128"/>
    </row>
    <row r="784" spans="2:10" x14ac:dyDescent="0.25">
      <c r="F784" s="128"/>
      <c r="G784" s="128"/>
      <c r="H784" s="128"/>
    </row>
    <row r="785" spans="2:8" x14ac:dyDescent="0.25">
      <c r="B785" s="57" t="s">
        <v>167</v>
      </c>
      <c r="C785" s="1"/>
      <c r="D785" s="45"/>
      <c r="E785" s="45"/>
      <c r="F785" s="45"/>
      <c r="G785" s="45"/>
      <c r="H785" s="45"/>
    </row>
    <row r="786" spans="2:8" x14ac:dyDescent="0.25">
      <c r="B786" s="1" t="s">
        <v>2</v>
      </c>
      <c r="C786" s="45"/>
      <c r="D786" s="1"/>
      <c r="E786" s="45"/>
      <c r="F786" s="50"/>
      <c r="G786" s="50"/>
      <c r="H786" s="50"/>
    </row>
    <row r="787" spans="2:8" x14ac:dyDescent="0.25">
      <c r="B787" s="1" t="s">
        <v>109</v>
      </c>
      <c r="C787" s="1" t="s">
        <v>227</v>
      </c>
      <c r="D787" s="45"/>
      <c r="E787" s="45"/>
      <c r="F787" s="50">
        <f>1063755.79+17989</f>
        <v>1081744.79</v>
      </c>
      <c r="G787" s="50"/>
      <c r="H787" s="50"/>
    </row>
    <row r="788" spans="2:8" x14ac:dyDescent="0.25">
      <c r="B788" s="1"/>
      <c r="C788" s="1" t="s">
        <v>179</v>
      </c>
      <c r="D788" s="45"/>
      <c r="E788" s="45"/>
      <c r="F788" s="50"/>
      <c r="G788" s="50"/>
      <c r="H788" s="50"/>
    </row>
    <row r="789" spans="2:8" x14ac:dyDescent="0.25">
      <c r="B789" s="1" t="s">
        <v>244</v>
      </c>
      <c r="C789" s="57" t="s">
        <v>294</v>
      </c>
      <c r="D789" s="45"/>
      <c r="E789" s="45"/>
      <c r="F789" s="50"/>
      <c r="G789" s="50"/>
      <c r="H789" s="50"/>
    </row>
    <row r="790" spans="2:8" x14ac:dyDescent="0.25">
      <c r="B790" s="1"/>
      <c r="C790" s="1"/>
      <c r="D790" s="45"/>
      <c r="E790" s="45"/>
      <c r="F790" s="50">
        <v>17989</v>
      </c>
      <c r="G790" s="50"/>
      <c r="H790" s="50"/>
    </row>
    <row r="791" spans="2:8" x14ac:dyDescent="0.25">
      <c r="B791" s="1"/>
      <c r="C791" s="1"/>
      <c r="D791" s="45"/>
      <c r="E791" s="45"/>
      <c r="F791" s="65"/>
      <c r="G791" s="65">
        <f>F787+F789-F790</f>
        <v>1063755.79</v>
      </c>
      <c r="H791" s="50"/>
    </row>
    <row r="792" spans="2:8" x14ac:dyDescent="0.25">
      <c r="B792" s="57" t="s">
        <v>245</v>
      </c>
      <c r="C792" s="45"/>
      <c r="D792" s="45"/>
      <c r="E792" s="45"/>
      <c r="F792" s="50"/>
      <c r="G792" s="50"/>
      <c r="H792" s="50"/>
    </row>
    <row r="793" spans="2:8" x14ac:dyDescent="0.25">
      <c r="B793" s="1" t="s">
        <v>2</v>
      </c>
      <c r="C793" s="1"/>
      <c r="D793" s="45"/>
      <c r="E793" s="45"/>
      <c r="F793" s="50"/>
      <c r="G793" s="50"/>
      <c r="H793" s="50"/>
    </row>
    <row r="794" spans="2:8" x14ac:dyDescent="0.25">
      <c r="B794" s="1" t="s">
        <v>3</v>
      </c>
      <c r="C794" s="57" t="s">
        <v>6</v>
      </c>
      <c r="D794" s="45"/>
      <c r="E794" s="45"/>
      <c r="F794" s="50">
        <v>-1063755.79</v>
      </c>
      <c r="G794" s="50"/>
      <c r="H794" s="50"/>
    </row>
    <row r="795" spans="2:8" x14ac:dyDescent="0.25">
      <c r="B795" s="1"/>
      <c r="C795" s="1" t="s">
        <v>8</v>
      </c>
      <c r="D795" s="45"/>
      <c r="E795" s="45"/>
      <c r="F795" s="50"/>
      <c r="G795" s="50"/>
      <c r="H795" s="50"/>
    </row>
    <row r="796" spans="2:8" x14ac:dyDescent="0.25">
      <c r="B796" s="1"/>
      <c r="C796" s="45"/>
      <c r="D796" s="45"/>
      <c r="E796" s="45"/>
      <c r="F796" s="65"/>
      <c r="G796" s="50"/>
      <c r="H796" s="50"/>
    </row>
    <row r="797" spans="2:8" x14ac:dyDescent="0.25">
      <c r="B797" s="1" t="s">
        <v>4</v>
      </c>
      <c r="C797" s="57" t="s">
        <v>338</v>
      </c>
      <c r="D797" s="45"/>
      <c r="E797" s="45"/>
      <c r="F797" s="43"/>
      <c r="G797" s="50"/>
      <c r="H797" s="50"/>
    </row>
    <row r="798" spans="2:8" x14ac:dyDescent="0.25">
      <c r="B798" s="1"/>
      <c r="C798" s="1"/>
      <c r="D798" s="45"/>
      <c r="E798" s="45"/>
      <c r="F798" s="65"/>
      <c r="G798" s="50"/>
      <c r="H798" s="50"/>
    </row>
    <row r="799" spans="2:8" x14ac:dyDescent="0.25">
      <c r="B799" s="1" t="s">
        <v>4</v>
      </c>
      <c r="C799" s="1" t="s">
        <v>184</v>
      </c>
      <c r="D799" s="45"/>
      <c r="E799" s="45"/>
      <c r="F799" s="50">
        <f>F794</f>
        <v>-1063755.79</v>
      </c>
      <c r="G799" s="50"/>
      <c r="H799" s="50"/>
    </row>
    <row r="800" spans="2:8" x14ac:dyDescent="0.25">
      <c r="B800" s="1"/>
      <c r="C800" s="1" t="s">
        <v>165</v>
      </c>
      <c r="D800" s="45"/>
      <c r="E800" s="45"/>
      <c r="F800" s="50"/>
      <c r="G800" s="50"/>
      <c r="H800" s="50"/>
    </row>
    <row r="801" spans="2:11" x14ac:dyDescent="0.25">
      <c r="F801" s="65"/>
      <c r="G801" s="50">
        <f>F799-F801</f>
        <v>-1063755.79</v>
      </c>
      <c r="H801" s="50">
        <f>G791+G801</f>
        <v>0</v>
      </c>
    </row>
    <row r="802" spans="2:11" x14ac:dyDescent="0.25">
      <c r="B802" s="57" t="s">
        <v>324</v>
      </c>
      <c r="C802" s="1"/>
      <c r="D802" s="1"/>
      <c r="E802" s="45"/>
      <c r="F802" s="45"/>
      <c r="G802" s="45"/>
      <c r="H802" s="45"/>
      <c r="I802" s="50"/>
      <c r="J802" s="50"/>
      <c r="K802" s="50"/>
    </row>
    <row r="803" spans="2:11" x14ac:dyDescent="0.25">
      <c r="B803" s="1" t="s">
        <v>2</v>
      </c>
      <c r="C803" s="1"/>
      <c r="D803" s="45"/>
      <c r="E803" s="45"/>
      <c r="F803" s="50">
        <v>732017.14</v>
      </c>
      <c r="G803" s="50"/>
      <c r="H803" s="50"/>
    </row>
    <row r="804" spans="2:11" x14ac:dyDescent="0.25">
      <c r="B804" s="1" t="s">
        <v>3</v>
      </c>
      <c r="C804" s="1" t="s">
        <v>263</v>
      </c>
      <c r="D804" s="1"/>
      <c r="E804" s="45"/>
      <c r="F804" s="50"/>
      <c r="G804" s="50"/>
      <c r="H804" s="50"/>
    </row>
    <row r="805" spans="2:11" x14ac:dyDescent="0.25">
      <c r="B805" s="1"/>
      <c r="C805" s="1" t="s">
        <v>314</v>
      </c>
      <c r="D805" s="1"/>
      <c r="E805" s="45"/>
      <c r="F805" s="50"/>
      <c r="G805" s="50"/>
      <c r="H805" s="50"/>
    </row>
    <row r="806" spans="2:11" x14ac:dyDescent="0.25">
      <c r="B806" s="1" t="s">
        <v>3</v>
      </c>
      <c r="C806" s="1" t="s">
        <v>115</v>
      </c>
      <c r="D806" s="45"/>
      <c r="E806" s="45"/>
      <c r="F806" s="50"/>
      <c r="G806" s="50"/>
      <c r="H806" s="50"/>
    </row>
    <row r="807" spans="2:11" x14ac:dyDescent="0.25">
      <c r="B807" s="1"/>
      <c r="C807" s="45"/>
      <c r="D807" s="1"/>
      <c r="E807" s="45"/>
      <c r="F807" s="50"/>
      <c r="G807" s="50"/>
      <c r="H807" s="50"/>
    </row>
    <row r="808" spans="2:11" x14ac:dyDescent="0.25">
      <c r="B808" s="1" t="s">
        <v>4</v>
      </c>
      <c r="C808" s="188" t="s">
        <v>336</v>
      </c>
      <c r="D808" s="1"/>
      <c r="E808" s="45"/>
      <c r="F808" s="65">
        <v>35343</v>
      </c>
      <c r="G808" s="65">
        <f>F803-F808</f>
        <v>696674.14</v>
      </c>
      <c r="H808" s="50"/>
    </row>
    <row r="809" spans="2:11" x14ac:dyDescent="0.25">
      <c r="B809" s="1"/>
      <c r="C809" s="1"/>
      <c r="D809" s="45"/>
      <c r="E809" s="45"/>
      <c r="F809" s="50"/>
      <c r="G809" s="50"/>
      <c r="H809" s="50"/>
    </row>
    <row r="810" spans="2:11" x14ac:dyDescent="0.25">
      <c r="B810" s="57" t="s">
        <v>327</v>
      </c>
      <c r="C810" s="1"/>
      <c r="D810" s="45"/>
      <c r="E810" s="45"/>
      <c r="F810" s="50"/>
      <c r="G810" s="50"/>
      <c r="H810" s="50"/>
    </row>
    <row r="811" spans="2:11" x14ac:dyDescent="0.25">
      <c r="B811" s="1" t="s">
        <v>2</v>
      </c>
      <c r="C811" s="1"/>
      <c r="D811" s="45"/>
      <c r="E811" s="45"/>
      <c r="F811" s="50">
        <v>0</v>
      </c>
      <c r="G811" s="50"/>
      <c r="H811" s="50"/>
    </row>
    <row r="812" spans="2:11" x14ac:dyDescent="0.25">
      <c r="B812" s="1" t="s">
        <v>3</v>
      </c>
      <c r="C812" s="57" t="s">
        <v>6</v>
      </c>
      <c r="D812" s="45"/>
      <c r="E812" s="45"/>
      <c r="F812" s="50">
        <v>-696674.14</v>
      </c>
      <c r="G812" s="50"/>
      <c r="H812" s="50"/>
    </row>
    <row r="813" spans="2:11" x14ac:dyDescent="0.25">
      <c r="B813" s="1"/>
      <c r="C813" s="1" t="s">
        <v>8</v>
      </c>
      <c r="D813" s="45"/>
      <c r="E813" s="45"/>
      <c r="F813" s="65"/>
      <c r="G813" s="50"/>
      <c r="H813" s="50"/>
    </row>
    <row r="814" spans="2:11" x14ac:dyDescent="0.25">
      <c r="B814" s="1"/>
      <c r="C814" s="1"/>
      <c r="D814" s="45"/>
      <c r="E814" s="45"/>
      <c r="F814" s="50">
        <f>SUM(F811:F813)</f>
        <v>-696674.14</v>
      </c>
      <c r="G814" s="50"/>
      <c r="H814" s="50"/>
    </row>
    <row r="815" spans="2:11" x14ac:dyDescent="0.25">
      <c r="B815" s="1" t="s">
        <v>4</v>
      </c>
      <c r="C815" s="57" t="s">
        <v>5</v>
      </c>
      <c r="D815" s="45"/>
      <c r="E815" s="45"/>
      <c r="F815" s="65"/>
      <c r="G815" s="50"/>
      <c r="H815" s="50"/>
    </row>
    <row r="816" spans="2:11" x14ac:dyDescent="0.25">
      <c r="B816" s="1"/>
      <c r="C816" s="1"/>
      <c r="D816" s="45"/>
      <c r="E816" s="45"/>
      <c r="F816" s="50">
        <f>F814-F815</f>
        <v>-696674.14</v>
      </c>
      <c r="G816" s="50"/>
      <c r="H816" s="50"/>
    </row>
    <row r="817" spans="2:11" x14ac:dyDescent="0.25">
      <c r="B817" s="1" t="s">
        <v>4</v>
      </c>
      <c r="C817" s="1" t="s">
        <v>184</v>
      </c>
      <c r="D817" s="45"/>
      <c r="E817" s="45"/>
      <c r="F817" s="50"/>
      <c r="G817" s="50"/>
      <c r="H817" s="50"/>
    </row>
    <row r="818" spans="2:11" x14ac:dyDescent="0.25">
      <c r="B818" s="1"/>
      <c r="C818" s="1" t="s">
        <v>165</v>
      </c>
      <c r="D818" s="45"/>
      <c r="E818" s="45"/>
      <c r="F818" s="65">
        <v>0</v>
      </c>
      <c r="G818" s="65">
        <f>F816-F818</f>
        <v>-696674.14</v>
      </c>
      <c r="H818" s="50">
        <f>G808+G818</f>
        <v>0</v>
      </c>
    </row>
    <row r="819" spans="2:11" x14ac:dyDescent="0.25">
      <c r="B819" s="1"/>
      <c r="C819" s="1"/>
      <c r="D819" s="45"/>
      <c r="E819" s="45"/>
      <c r="F819" s="72"/>
      <c r="G819" s="72"/>
      <c r="H819" s="50"/>
    </row>
    <row r="820" spans="2:11" x14ac:dyDescent="0.25">
      <c r="B820" s="57" t="s">
        <v>313</v>
      </c>
      <c r="C820" s="1"/>
      <c r="D820" s="1"/>
      <c r="E820" s="45"/>
      <c r="F820" s="45"/>
      <c r="G820" s="45"/>
      <c r="H820" s="45"/>
      <c r="I820" s="50"/>
      <c r="J820" s="50"/>
      <c r="K820" s="50"/>
    </row>
    <row r="821" spans="2:11" x14ac:dyDescent="0.25">
      <c r="B821" s="1" t="s">
        <v>2</v>
      </c>
      <c r="C821" s="45"/>
      <c r="D821" s="1"/>
      <c r="E821" s="45"/>
      <c r="F821" s="50">
        <v>155913.5</v>
      </c>
      <c r="G821" s="50"/>
      <c r="H821" s="50"/>
    </row>
    <row r="822" spans="2:11" x14ac:dyDescent="0.25">
      <c r="B822" s="1" t="s">
        <v>3</v>
      </c>
      <c r="C822" s="1" t="s">
        <v>263</v>
      </c>
      <c r="D822" s="1"/>
      <c r="E822" s="45"/>
      <c r="F822" s="50"/>
      <c r="G822" s="50"/>
      <c r="H822" s="50"/>
    </row>
    <row r="823" spans="2:11" x14ac:dyDescent="0.25">
      <c r="B823" s="1"/>
      <c r="C823" s="1" t="s">
        <v>314</v>
      </c>
      <c r="D823" s="1"/>
      <c r="E823" s="45"/>
      <c r="F823" s="50"/>
      <c r="G823" s="50"/>
      <c r="H823" s="50"/>
    </row>
    <row r="824" spans="2:11" x14ac:dyDescent="0.25">
      <c r="B824" s="1" t="s">
        <v>3</v>
      </c>
      <c r="C824" s="1" t="s">
        <v>115</v>
      </c>
      <c r="D824" s="45"/>
      <c r="E824" s="45"/>
      <c r="F824" s="50">
        <v>0</v>
      </c>
      <c r="G824" s="50"/>
      <c r="H824" s="50"/>
    </row>
    <row r="825" spans="2:11" x14ac:dyDescent="0.25">
      <c r="B825" s="1" t="s">
        <v>4</v>
      </c>
      <c r="C825" s="57" t="s">
        <v>247</v>
      </c>
      <c r="D825" s="1"/>
      <c r="E825" s="45"/>
      <c r="F825" s="50">
        <v>100247</v>
      </c>
      <c r="G825" s="45"/>
      <c r="H825" s="50"/>
    </row>
    <row r="826" spans="2:11" x14ac:dyDescent="0.25">
      <c r="B826" s="1"/>
      <c r="C826" s="57"/>
      <c r="D826" s="1"/>
      <c r="E826" s="45"/>
      <c r="F826" s="65"/>
      <c r="G826" s="70">
        <f>F823+F824-F825+F821</f>
        <v>55666.5</v>
      </c>
      <c r="H826" s="50"/>
    </row>
    <row r="827" spans="2:11" x14ac:dyDescent="0.25">
      <c r="B827" s="57" t="s">
        <v>315</v>
      </c>
      <c r="C827" s="1"/>
      <c r="D827" s="1"/>
      <c r="E827" s="45"/>
      <c r="F827" s="50"/>
      <c r="G827" s="50"/>
      <c r="H827" s="50"/>
    </row>
    <row r="828" spans="2:11" x14ac:dyDescent="0.25">
      <c r="B828" s="1" t="s">
        <v>2</v>
      </c>
      <c r="C828" s="1"/>
      <c r="D828" s="45"/>
      <c r="E828" s="45"/>
      <c r="F828" s="50">
        <v>-55666.5</v>
      </c>
      <c r="G828" s="50"/>
      <c r="H828" s="50"/>
    </row>
    <row r="829" spans="2:11" x14ac:dyDescent="0.25">
      <c r="B829" s="1" t="s">
        <v>3</v>
      </c>
      <c r="C829" s="57" t="s">
        <v>6</v>
      </c>
      <c r="D829" s="45"/>
      <c r="E829" s="45"/>
      <c r="F829" s="71"/>
      <c r="G829" s="50"/>
      <c r="H829" s="50"/>
    </row>
    <row r="830" spans="2:11" x14ac:dyDescent="0.25">
      <c r="B830" s="1"/>
      <c r="C830" s="1" t="s">
        <v>8</v>
      </c>
      <c r="D830" s="45"/>
      <c r="E830" s="45"/>
      <c r="F830" s="65"/>
      <c r="G830" s="50"/>
      <c r="H830" s="50"/>
    </row>
    <row r="831" spans="2:11" x14ac:dyDescent="0.25">
      <c r="B831" s="1"/>
      <c r="C831" s="1"/>
      <c r="D831" s="1"/>
      <c r="E831" s="45"/>
      <c r="F831" s="50">
        <f>SUM(F828:F830)</f>
        <v>-55666.5</v>
      </c>
      <c r="G831" s="50"/>
      <c r="H831" s="50"/>
    </row>
    <row r="832" spans="2:11" x14ac:dyDescent="0.25">
      <c r="B832" s="1" t="s">
        <v>4</v>
      </c>
      <c r="C832" s="57" t="s">
        <v>5</v>
      </c>
      <c r="D832" s="1"/>
      <c r="E832" s="45"/>
      <c r="F832" s="65">
        <v>0</v>
      </c>
      <c r="G832" s="50"/>
      <c r="H832" s="50"/>
    </row>
    <row r="833" spans="2:11" x14ac:dyDescent="0.25">
      <c r="B833" s="1"/>
      <c r="C833" s="1"/>
      <c r="D833" s="45"/>
      <c r="E833" s="45"/>
      <c r="F833" s="50">
        <f>F831-F832</f>
        <v>-55666.5</v>
      </c>
      <c r="G833" s="50"/>
      <c r="H833" s="50"/>
    </row>
    <row r="834" spans="2:11" x14ac:dyDescent="0.25">
      <c r="B834" s="1" t="s">
        <v>4</v>
      </c>
      <c r="C834" s="1" t="s">
        <v>184</v>
      </c>
      <c r="D834" s="45"/>
      <c r="E834" s="45"/>
      <c r="F834" s="50"/>
      <c r="G834" s="50"/>
      <c r="H834" s="50"/>
    </row>
    <row r="835" spans="2:11" x14ac:dyDescent="0.25">
      <c r="B835" s="1"/>
      <c r="C835" s="1" t="s">
        <v>165</v>
      </c>
      <c r="D835" s="45"/>
      <c r="E835" s="45"/>
      <c r="F835" s="65">
        <v>0</v>
      </c>
      <c r="G835" s="65">
        <f>F833-F835</f>
        <v>-55666.5</v>
      </c>
      <c r="H835" s="50">
        <f>G826+G835</f>
        <v>0</v>
      </c>
    </row>
    <row r="836" spans="2:11" x14ac:dyDescent="0.25">
      <c r="B836" s="1"/>
      <c r="C836" s="1"/>
      <c r="D836" s="45"/>
      <c r="E836" s="45"/>
      <c r="F836" s="72"/>
      <c r="G836" s="72"/>
      <c r="H836" s="50"/>
    </row>
    <row r="837" spans="2:11" x14ac:dyDescent="0.25">
      <c r="B837" s="1"/>
      <c r="C837" s="1"/>
      <c r="D837" s="45"/>
      <c r="E837" s="45"/>
      <c r="F837" s="45"/>
      <c r="G837" s="45"/>
      <c r="H837" s="45"/>
      <c r="I837" s="50"/>
      <c r="J837" s="50"/>
      <c r="K837" s="50"/>
    </row>
    <row r="838" spans="2:11" x14ac:dyDescent="0.25">
      <c r="B838" s="57" t="s">
        <v>316</v>
      </c>
      <c r="C838" s="1"/>
      <c r="D838" s="1"/>
      <c r="E838" s="45"/>
      <c r="F838" s="45"/>
      <c r="G838" s="45"/>
      <c r="H838" s="45"/>
      <c r="I838" s="50"/>
      <c r="J838" s="50"/>
      <c r="K838" s="50"/>
    </row>
    <row r="839" spans="2:11" x14ac:dyDescent="0.25">
      <c r="B839" s="1" t="s">
        <v>2</v>
      </c>
      <c r="C839" s="45"/>
      <c r="D839" s="1"/>
      <c r="E839" s="45"/>
      <c r="F839" s="45"/>
      <c r="G839" s="45"/>
      <c r="H839" s="45"/>
      <c r="I839" s="50">
        <v>200523.13</v>
      </c>
      <c r="J839" s="50"/>
      <c r="K839" s="50"/>
    </row>
    <row r="840" spans="2:11" x14ac:dyDescent="0.25">
      <c r="B840" s="1" t="s">
        <v>3</v>
      </c>
      <c r="C840" s="1" t="s">
        <v>263</v>
      </c>
      <c r="D840" s="1"/>
      <c r="E840" s="45"/>
      <c r="F840" s="45"/>
      <c r="G840" s="45"/>
      <c r="H840" s="45"/>
      <c r="I840" s="50"/>
      <c r="J840" s="50"/>
      <c r="K840" s="50"/>
    </row>
    <row r="841" spans="2:11" x14ac:dyDescent="0.25">
      <c r="B841" s="1"/>
      <c r="C841" s="1" t="s">
        <v>314</v>
      </c>
      <c r="D841" s="1"/>
      <c r="E841" s="45"/>
      <c r="F841" s="45"/>
      <c r="G841" s="45"/>
      <c r="H841" s="45"/>
      <c r="I841" s="50">
        <v>0</v>
      </c>
      <c r="J841" s="50"/>
      <c r="K841" s="50"/>
    </row>
    <row r="842" spans="2:11" x14ac:dyDescent="0.25">
      <c r="B842" s="1"/>
      <c r="C842" s="1"/>
      <c r="D842" s="45"/>
      <c r="E842" s="45"/>
      <c r="F842" s="45"/>
      <c r="G842" s="45"/>
      <c r="H842" s="45"/>
      <c r="I842" s="50">
        <v>0</v>
      </c>
      <c r="J842" s="50"/>
      <c r="K842" s="50"/>
    </row>
    <row r="843" spans="2:11" x14ac:dyDescent="0.25">
      <c r="B843" s="57" t="s">
        <v>4</v>
      </c>
      <c r="C843" s="57" t="s">
        <v>294</v>
      </c>
      <c r="D843" s="1"/>
      <c r="E843" s="45"/>
      <c r="F843" s="45"/>
      <c r="G843" s="45"/>
      <c r="H843" s="45"/>
      <c r="I843" s="50"/>
      <c r="J843" s="50"/>
      <c r="K843" s="50"/>
    </row>
    <row r="844" spans="2:11" x14ac:dyDescent="0.25">
      <c r="B844" s="1"/>
      <c r="C844" s="57"/>
      <c r="D844" s="1"/>
      <c r="E844" s="45"/>
      <c r="F844" s="45"/>
      <c r="G844" s="45"/>
      <c r="H844" s="45"/>
      <c r="I844" s="65"/>
      <c r="J844" s="70">
        <f>I839+I841-I843</f>
        <v>200523.13</v>
      </c>
      <c r="K844" s="50"/>
    </row>
    <row r="845" spans="2:11" x14ac:dyDescent="0.25">
      <c r="B845" s="57" t="s">
        <v>317</v>
      </c>
      <c r="C845" s="1"/>
      <c r="D845" s="1"/>
      <c r="E845" s="45"/>
      <c r="F845" s="45"/>
      <c r="G845" s="45"/>
      <c r="H845" s="45"/>
      <c r="I845" s="50"/>
      <c r="J845" s="50"/>
      <c r="K845" s="50"/>
    </row>
    <row r="846" spans="2:11" x14ac:dyDescent="0.25">
      <c r="B846" s="1" t="s">
        <v>2</v>
      </c>
      <c r="C846" s="1"/>
      <c r="D846" s="45"/>
      <c r="E846" s="45"/>
      <c r="F846" s="45"/>
      <c r="G846" s="45"/>
      <c r="H846" s="45"/>
      <c r="I846" s="50">
        <v>0</v>
      </c>
      <c r="J846" s="50"/>
      <c r="K846" s="50"/>
    </row>
    <row r="847" spans="2:11" x14ac:dyDescent="0.25">
      <c r="B847" s="1" t="s">
        <v>3</v>
      </c>
      <c r="C847" s="57" t="s">
        <v>6</v>
      </c>
      <c r="D847" s="45"/>
      <c r="E847" s="45"/>
      <c r="F847" s="45"/>
      <c r="G847" s="45"/>
      <c r="H847" s="45"/>
      <c r="I847" s="71"/>
      <c r="J847" s="50"/>
      <c r="K847" s="50"/>
    </row>
    <row r="848" spans="2:11" x14ac:dyDescent="0.25">
      <c r="B848" s="1"/>
      <c r="C848" s="1" t="s">
        <v>8</v>
      </c>
      <c r="D848" s="45"/>
      <c r="E848" s="45"/>
      <c r="F848" s="45"/>
      <c r="G848" s="45"/>
      <c r="H848" s="45"/>
      <c r="I848" s="65">
        <f>I839*5.1%</f>
        <v>10226.679629999999</v>
      </c>
      <c r="J848" s="50"/>
      <c r="K848" s="50"/>
    </row>
    <row r="849" spans="2:11" x14ac:dyDescent="0.25">
      <c r="B849" s="1"/>
      <c r="C849" s="1"/>
      <c r="D849" s="1"/>
      <c r="E849" s="45"/>
      <c r="F849" s="45"/>
      <c r="G849" s="45"/>
      <c r="H849" s="45"/>
      <c r="I849" s="50">
        <f>SUM(I846:I848)</f>
        <v>10226.679629999999</v>
      </c>
      <c r="J849" s="50"/>
      <c r="K849" s="50"/>
    </row>
    <row r="850" spans="2:11" x14ac:dyDescent="0.25">
      <c r="B850" s="1" t="s">
        <v>4</v>
      </c>
      <c r="C850" s="57" t="s">
        <v>5</v>
      </c>
      <c r="D850" s="1"/>
      <c r="E850" s="45"/>
      <c r="F850" s="45"/>
      <c r="G850" s="45"/>
      <c r="H850" s="45"/>
      <c r="I850" s="65">
        <v>0</v>
      </c>
      <c r="J850" s="50"/>
      <c r="K850" s="50"/>
    </row>
    <row r="851" spans="2:11" x14ac:dyDescent="0.25">
      <c r="B851" s="1"/>
      <c r="C851" s="1"/>
      <c r="D851" s="45"/>
      <c r="E851" s="45"/>
      <c r="F851" s="45"/>
      <c r="G851" s="45"/>
      <c r="H851" s="45"/>
      <c r="I851" s="50">
        <f>I849-I850</f>
        <v>10226.679629999999</v>
      </c>
      <c r="J851" s="50"/>
      <c r="K851" s="50"/>
    </row>
    <row r="852" spans="2:11" x14ac:dyDescent="0.25">
      <c r="B852" s="1" t="s">
        <v>4</v>
      </c>
      <c r="C852" s="1" t="s">
        <v>184</v>
      </c>
      <c r="D852" s="45"/>
      <c r="E852" s="45"/>
      <c r="F852" s="45"/>
      <c r="G852" s="45"/>
      <c r="H852" s="45"/>
      <c r="I852" s="50"/>
      <c r="J852" s="50"/>
      <c r="K852" s="50"/>
    </row>
    <row r="853" spans="2:11" x14ac:dyDescent="0.25">
      <c r="B853" s="1"/>
      <c r="C853" s="1" t="s">
        <v>165</v>
      </c>
      <c r="D853" s="45"/>
      <c r="E853" s="45"/>
      <c r="F853" s="45"/>
      <c r="G853" s="45"/>
      <c r="H853" s="45"/>
      <c r="I853" s="65">
        <v>0</v>
      </c>
      <c r="J853" s="65">
        <f>I851-I853</f>
        <v>10226.679629999999</v>
      </c>
      <c r="K853" s="50">
        <f>J844+J853</f>
        <v>210749.80963</v>
      </c>
    </row>
    <row r="854" spans="2:11" x14ac:dyDescent="0.25">
      <c r="B854" s="132" t="s">
        <v>2</v>
      </c>
    </row>
    <row r="855" spans="2:11" x14ac:dyDescent="0.25">
      <c r="B855" s="132" t="s">
        <v>3</v>
      </c>
      <c r="C855" s="137" t="s">
        <v>6</v>
      </c>
      <c r="F855" s="129">
        <v>480000</v>
      </c>
    </row>
    <row r="856" spans="2:11" x14ac:dyDescent="0.25">
      <c r="C856" s="132" t="s">
        <v>8</v>
      </c>
      <c r="F856" s="125"/>
    </row>
    <row r="857" spans="2:11" x14ac:dyDescent="0.25">
      <c r="F857" s="118">
        <f>SUM(F854:F856)</f>
        <v>480000</v>
      </c>
    </row>
    <row r="858" spans="2:11" x14ac:dyDescent="0.25">
      <c r="B858" s="132" t="s">
        <v>4</v>
      </c>
      <c r="C858" s="137" t="s">
        <v>379</v>
      </c>
      <c r="F858" s="125">
        <v>20000</v>
      </c>
    </row>
    <row r="859" spans="2:11" x14ac:dyDescent="0.25">
      <c r="F859" s="118">
        <f>F857-F858</f>
        <v>460000</v>
      </c>
    </row>
    <row r="860" spans="2:11" x14ac:dyDescent="0.25">
      <c r="B860" s="132" t="s">
        <v>4</v>
      </c>
      <c r="C860" s="132" t="s">
        <v>184</v>
      </c>
    </row>
    <row r="861" spans="2:11" x14ac:dyDescent="0.25">
      <c r="C861" s="132" t="s">
        <v>165</v>
      </c>
      <c r="F861" s="125"/>
      <c r="G861" s="125">
        <f>F859-F861</f>
        <v>460000</v>
      </c>
      <c r="H861" s="118">
        <f>G783+G861</f>
        <v>460000</v>
      </c>
      <c r="I861" s="187">
        <f>H861+H782+H773+H764+H748+H732+H711</f>
        <v>4165564.61</v>
      </c>
    </row>
    <row r="862" spans="2:11" x14ac:dyDescent="0.25">
      <c r="B862" s="137"/>
      <c r="F862" s="128"/>
      <c r="G862" s="128"/>
      <c r="H862" s="128"/>
    </row>
    <row r="863" spans="2:11" x14ac:dyDescent="0.25">
      <c r="F863" s="128"/>
      <c r="G863" s="128"/>
      <c r="H863" s="128"/>
    </row>
    <row r="864" spans="2:11" x14ac:dyDescent="0.25">
      <c r="F864" s="128"/>
      <c r="G864" s="128"/>
      <c r="H864" s="128"/>
    </row>
    <row r="865" spans="8:10" ht="18.75" thickBot="1" x14ac:dyDescent="0.3"/>
    <row r="866" spans="8:10" ht="18.75" thickBot="1" x14ac:dyDescent="0.3">
      <c r="H866" s="130">
        <f>SUM(H10:H865)-0.01</f>
        <v>26984827.040000003</v>
      </c>
      <c r="J866" s="136"/>
    </row>
    <row r="867" spans="8:10" x14ac:dyDescent="0.25">
      <c r="I867" s="136">
        <v>27580022.43</v>
      </c>
    </row>
    <row r="868" spans="8:10" x14ac:dyDescent="0.25">
      <c r="I868" s="187">
        <v>589435.38</v>
      </c>
    </row>
    <row r="869" spans="8:10" x14ac:dyDescent="0.25">
      <c r="I869" s="187">
        <f>I867-I868</f>
        <v>26990587.050000001</v>
      </c>
    </row>
    <row r="870" spans="8:10" x14ac:dyDescent="0.25">
      <c r="I870" s="118"/>
    </row>
    <row r="871" spans="8:10" x14ac:dyDescent="0.25">
      <c r="I871" s="132">
        <f>BalanceSheet!F18+BalanceSheet!F27</f>
        <v>61678713.390000001</v>
      </c>
    </row>
    <row r="872" spans="8:10" x14ac:dyDescent="0.25">
      <c r="I872" s="187">
        <f>I871+I869</f>
        <v>88669300.439999998</v>
      </c>
    </row>
  </sheetData>
  <mergeCells count="1">
    <mergeCell ref="C297:E297"/>
  </mergeCells>
  <pageMargins left="0.7" right="0.7" top="0.75" bottom="0.75" header="0.3" footer="0.3"/>
  <pageSetup scale="29" orientation="portrait" r:id="rId1"/>
  <rowBreaks count="7" manualBreakCount="7">
    <brk id="112" max="7" man="1"/>
    <brk id="203" max="7" man="1"/>
    <brk id="310" max="7" man="1"/>
    <brk id="418" max="7" man="1"/>
    <brk id="532" max="7" man="1"/>
    <brk id="653" max="7" man="1"/>
    <brk id="783" max="7" man="1"/>
  </rowBreaks>
  <colBreaks count="1" manualBreakCount="1">
    <brk id="1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1"/>
  <sheetViews>
    <sheetView view="pageBreakPreview" topLeftCell="A4" zoomScaleNormal="100" zoomScaleSheetLayoutView="100" workbookViewId="0">
      <selection activeCell="A4" sqref="A4"/>
    </sheetView>
  </sheetViews>
  <sheetFormatPr defaultColWidth="9.140625" defaultRowHeight="15.75" x14ac:dyDescent="0.25"/>
  <cols>
    <col min="1" max="1" width="3.7109375" style="45" customWidth="1"/>
    <col min="2" max="2" width="26.42578125" style="45" customWidth="1"/>
    <col min="3" max="3" width="3.7109375" style="45" customWidth="1"/>
    <col min="4" max="7" width="9.140625" style="45"/>
    <col min="8" max="8" width="11" style="50" customWidth="1"/>
    <col min="9" max="9" width="19.140625" style="45" bestFit="1" customWidth="1"/>
    <col min="10" max="10" width="21.5703125" style="45" customWidth="1"/>
    <col min="11" max="11" width="16.28515625" style="45" bestFit="1" customWidth="1"/>
    <col min="12" max="12" width="16.85546875" style="45" bestFit="1" customWidth="1"/>
    <col min="13" max="13" width="16" style="45" bestFit="1" customWidth="1"/>
    <col min="14" max="14" width="9.140625" style="45"/>
    <col min="15" max="15" width="14.7109375" style="45" bestFit="1" customWidth="1"/>
    <col min="16" max="16384" width="9.140625" style="45"/>
  </cols>
  <sheetData>
    <row r="1" spans="1:15" x14ac:dyDescent="0.25">
      <c r="A1" s="47" t="s">
        <v>130</v>
      </c>
      <c r="B1" s="1"/>
      <c r="D1" s="47" t="s">
        <v>266</v>
      </c>
      <c r="E1" s="1"/>
      <c r="F1" s="1"/>
      <c r="G1" s="1"/>
      <c r="H1" s="51"/>
      <c r="I1" s="51"/>
      <c r="J1" s="51"/>
    </row>
    <row r="2" spans="1:15" x14ac:dyDescent="0.25">
      <c r="A2" s="47"/>
      <c r="B2" s="1"/>
      <c r="D2" s="47"/>
      <c r="E2" s="1"/>
      <c r="F2" s="1"/>
      <c r="G2" s="1"/>
      <c r="H2" s="51"/>
      <c r="I2" s="51"/>
      <c r="J2" s="51"/>
    </row>
    <row r="3" spans="1:15" x14ac:dyDescent="0.25">
      <c r="A3" s="2" t="s">
        <v>637</v>
      </c>
      <c r="B3" s="1"/>
      <c r="D3" s="47"/>
      <c r="E3" s="1"/>
      <c r="F3" s="1"/>
      <c r="G3" s="1"/>
      <c r="H3" s="51"/>
      <c r="I3" s="51"/>
      <c r="J3" s="51"/>
    </row>
    <row r="4" spans="1:15" x14ac:dyDescent="0.25">
      <c r="A4" s="2"/>
      <c r="B4" s="1"/>
      <c r="D4" s="47"/>
      <c r="E4" s="1"/>
      <c r="F4" s="1"/>
      <c r="G4" s="1"/>
      <c r="H4" s="51"/>
      <c r="I4" s="51"/>
      <c r="J4" s="51"/>
    </row>
    <row r="5" spans="1:15" x14ac:dyDescent="0.25">
      <c r="A5" s="1"/>
      <c r="B5" s="1"/>
      <c r="C5" s="1"/>
      <c r="D5" s="1"/>
      <c r="E5" s="1"/>
      <c r="F5" s="1"/>
      <c r="G5" s="1"/>
      <c r="H5" s="51"/>
      <c r="I5" s="62" t="s">
        <v>275</v>
      </c>
      <c r="J5" s="62" t="s">
        <v>275</v>
      </c>
    </row>
    <row r="6" spans="1:15" hidden="1" x14ac:dyDescent="0.25">
      <c r="A6" s="1"/>
      <c r="B6" s="1" t="s">
        <v>281</v>
      </c>
      <c r="C6" s="1"/>
      <c r="D6" s="1"/>
      <c r="E6" s="1"/>
      <c r="F6" s="1"/>
      <c r="G6" s="1"/>
      <c r="H6" s="73"/>
      <c r="I6" s="71"/>
      <c r="J6" s="54"/>
      <c r="K6" s="64">
        <f>H6-I6</f>
        <v>0</v>
      </c>
    </row>
    <row r="7" spans="1:15" hidden="1" x14ac:dyDescent="0.25">
      <c r="A7" s="186"/>
      <c r="B7" s="48"/>
      <c r="C7" s="1"/>
      <c r="D7" s="1"/>
      <c r="E7" s="1"/>
      <c r="F7" s="1"/>
      <c r="G7" s="1"/>
      <c r="H7" s="51"/>
      <c r="I7" s="51"/>
      <c r="J7" s="51"/>
    </row>
    <row r="8" spans="1:15" hidden="1" x14ac:dyDescent="0.25">
      <c r="A8" s="186"/>
      <c r="B8" s="48" t="s">
        <v>325</v>
      </c>
      <c r="C8" s="1"/>
      <c r="D8" s="1"/>
      <c r="E8" s="1"/>
      <c r="F8" s="1"/>
      <c r="G8" s="1"/>
      <c r="H8" s="51"/>
      <c r="I8" s="51"/>
      <c r="J8" s="51"/>
    </row>
    <row r="9" spans="1:15" hidden="1" x14ac:dyDescent="0.25">
      <c r="A9" s="186"/>
      <c r="B9" s="48"/>
      <c r="C9" s="1"/>
      <c r="D9" s="1"/>
      <c r="E9" s="1"/>
      <c r="F9" s="1"/>
      <c r="G9" s="1"/>
      <c r="H9" s="51"/>
      <c r="I9" s="51"/>
      <c r="J9" s="51"/>
    </row>
    <row r="10" spans="1:15" hidden="1" x14ac:dyDescent="0.25">
      <c r="A10" s="186"/>
      <c r="B10" s="48" t="s">
        <v>365</v>
      </c>
      <c r="C10" s="1"/>
      <c r="D10" s="1"/>
      <c r="E10" s="1"/>
      <c r="F10" s="1"/>
      <c r="G10" s="1"/>
      <c r="H10" s="51"/>
      <c r="I10" s="51"/>
      <c r="J10" s="51"/>
    </row>
    <row r="11" spans="1:15" hidden="1" x14ac:dyDescent="0.25">
      <c r="A11" s="186"/>
      <c r="B11" s="48"/>
      <c r="C11" s="1"/>
      <c r="D11" s="1"/>
      <c r="E11" s="1"/>
      <c r="F11" s="1"/>
      <c r="G11" s="1"/>
      <c r="H11" s="51"/>
      <c r="I11" s="51"/>
      <c r="J11" s="51"/>
    </row>
    <row r="12" spans="1:15" ht="15" hidden="1" customHeight="1" x14ac:dyDescent="0.25">
      <c r="A12" s="186"/>
      <c r="B12" s="48" t="s">
        <v>359</v>
      </c>
      <c r="C12" s="1"/>
      <c r="D12" s="1"/>
      <c r="E12" s="1"/>
      <c r="F12" s="1"/>
      <c r="G12" s="1"/>
      <c r="H12" s="51"/>
      <c r="I12" s="51"/>
      <c r="J12" s="51"/>
    </row>
    <row r="13" spans="1:15" x14ac:dyDescent="0.25">
      <c r="A13" s="186"/>
      <c r="B13" s="48"/>
      <c r="C13" s="1"/>
      <c r="D13" s="1"/>
      <c r="E13" s="1"/>
      <c r="F13" s="1"/>
      <c r="G13" s="1"/>
      <c r="H13" s="51"/>
      <c r="I13" s="51"/>
      <c r="J13" s="51"/>
    </row>
    <row r="14" spans="1:15" hidden="1" x14ac:dyDescent="0.25">
      <c r="A14" s="186"/>
      <c r="B14" s="48" t="s">
        <v>370</v>
      </c>
      <c r="C14" s="1"/>
      <c r="D14" s="1"/>
      <c r="E14" s="1"/>
      <c r="F14" s="1"/>
      <c r="G14" s="1"/>
      <c r="H14" s="51"/>
      <c r="I14" s="51">
        <f>122500-122500</f>
        <v>0</v>
      </c>
      <c r="J14" s="51"/>
      <c r="K14" s="51">
        <f>122500</f>
        <v>122500</v>
      </c>
    </row>
    <row r="15" spans="1:15" hidden="1" x14ac:dyDescent="0.25">
      <c r="A15" s="186"/>
      <c r="B15" s="48"/>
      <c r="C15" s="1"/>
      <c r="D15" s="1"/>
      <c r="E15" s="1"/>
      <c r="F15" s="1"/>
      <c r="G15" s="1"/>
      <c r="H15" s="51"/>
      <c r="I15" s="51"/>
      <c r="J15" s="51"/>
      <c r="M15" s="50"/>
      <c r="O15" s="50"/>
    </row>
    <row r="16" spans="1:15" x14ac:dyDescent="0.25">
      <c r="A16" s="186"/>
      <c r="B16" s="48"/>
      <c r="C16" s="1"/>
      <c r="D16" s="1"/>
      <c r="E16" s="1"/>
      <c r="F16" s="1"/>
      <c r="G16" s="1"/>
      <c r="H16" s="51"/>
      <c r="I16" s="51"/>
      <c r="J16" s="51"/>
      <c r="L16" s="64"/>
      <c r="M16" s="64"/>
    </row>
    <row r="17" spans="1:12" x14ac:dyDescent="0.25">
      <c r="A17" s="186"/>
      <c r="B17" s="48"/>
      <c r="C17" s="1"/>
      <c r="D17" s="1"/>
      <c r="E17" s="1"/>
      <c r="F17" s="1"/>
      <c r="G17" s="1"/>
      <c r="H17" s="51"/>
      <c r="I17" s="51"/>
      <c r="J17" s="51"/>
      <c r="K17" s="45">
        <f>431361.67-103392.39</f>
        <v>327969.27999999997</v>
      </c>
    </row>
    <row r="18" spans="1:12" hidden="1" x14ac:dyDescent="0.25">
      <c r="A18" s="186"/>
      <c r="B18" s="48" t="s">
        <v>511</v>
      </c>
      <c r="C18" s="1"/>
      <c r="D18" s="1"/>
      <c r="E18" s="1"/>
      <c r="F18" s="1"/>
      <c r="G18" s="1"/>
      <c r="H18" s="51">
        <v>1558839</v>
      </c>
      <c r="I18" s="51"/>
      <c r="J18" s="51"/>
    </row>
    <row r="19" spans="1:12" hidden="1" x14ac:dyDescent="0.25">
      <c r="A19" s="186"/>
      <c r="B19" s="48" t="s">
        <v>512</v>
      </c>
      <c r="C19" s="1"/>
      <c r="D19" s="1"/>
      <c r="E19" s="1"/>
      <c r="F19" s="1"/>
      <c r="G19" s="1"/>
      <c r="H19" s="51">
        <v>155297</v>
      </c>
      <c r="I19" s="51"/>
      <c r="J19" s="51"/>
    </row>
    <row r="20" spans="1:12" hidden="1" x14ac:dyDescent="0.25">
      <c r="A20" s="186"/>
      <c r="B20" s="48" t="s">
        <v>510</v>
      </c>
      <c r="C20" s="1"/>
      <c r="D20" s="1"/>
      <c r="E20" s="1"/>
      <c r="F20" s="1"/>
      <c r="G20" s="1"/>
      <c r="H20" s="51">
        <v>529884</v>
      </c>
      <c r="I20" s="51"/>
      <c r="J20" s="51"/>
    </row>
    <row r="21" spans="1:12" hidden="1" x14ac:dyDescent="0.25">
      <c r="A21" s="186"/>
      <c r="B21" s="48" t="s">
        <v>181</v>
      </c>
      <c r="C21" s="1"/>
      <c r="D21" s="1"/>
      <c r="E21" s="1"/>
      <c r="F21" s="1"/>
      <c r="G21" s="1"/>
      <c r="H21" s="52"/>
      <c r="I21" s="51"/>
      <c r="J21" s="51"/>
      <c r="K21" s="64"/>
    </row>
    <row r="22" spans="1:12" x14ac:dyDescent="0.25">
      <c r="A22" s="186"/>
      <c r="B22" s="48" t="s">
        <v>547</v>
      </c>
      <c r="C22" s="1"/>
      <c r="D22" s="1"/>
      <c r="E22" s="1"/>
      <c r="F22" s="1"/>
      <c r="G22" s="1"/>
      <c r="H22" s="51"/>
      <c r="I22" s="51">
        <v>56600</v>
      </c>
      <c r="J22" s="51"/>
      <c r="K22" s="45">
        <f>625268.6</f>
        <v>625268.6</v>
      </c>
      <c r="L22" s="43">
        <f>I22-K22</f>
        <v>-568668.6</v>
      </c>
    </row>
    <row r="23" spans="1:12" hidden="1" x14ac:dyDescent="0.25">
      <c r="A23" s="186"/>
      <c r="B23" s="48" t="s">
        <v>505</v>
      </c>
      <c r="C23" s="1"/>
      <c r="D23" s="1"/>
      <c r="E23" s="1"/>
      <c r="F23" s="1"/>
      <c r="G23" s="1"/>
      <c r="H23" s="51"/>
      <c r="I23" s="51" t="s">
        <v>181</v>
      </c>
      <c r="J23" s="51"/>
    </row>
    <row r="24" spans="1:12" hidden="1" x14ac:dyDescent="0.25">
      <c r="A24" s="186"/>
      <c r="B24" s="48"/>
      <c r="C24" s="1"/>
      <c r="D24" s="1"/>
      <c r="E24" s="1"/>
      <c r="F24" s="1"/>
      <c r="G24" s="1"/>
      <c r="H24" s="51"/>
      <c r="I24" s="51"/>
      <c r="J24" s="51"/>
    </row>
    <row r="25" spans="1:12" hidden="1" x14ac:dyDescent="0.25">
      <c r="A25" s="186"/>
      <c r="B25" s="48" t="s">
        <v>506</v>
      </c>
      <c r="C25" s="1"/>
      <c r="D25" s="1"/>
      <c r="E25" s="1"/>
      <c r="F25" s="1"/>
      <c r="G25" s="1"/>
      <c r="H25" s="51"/>
      <c r="I25" s="51"/>
      <c r="J25" s="51"/>
      <c r="K25" s="45">
        <v>7441.06</v>
      </c>
    </row>
    <row r="26" spans="1:12" hidden="1" x14ac:dyDescent="0.25">
      <c r="A26" s="186"/>
      <c r="B26" s="48"/>
      <c r="C26" s="1"/>
      <c r="D26" s="1"/>
      <c r="E26" s="1"/>
      <c r="F26" s="1"/>
      <c r="G26" s="1"/>
      <c r="H26" s="51"/>
      <c r="I26" s="51"/>
      <c r="J26" s="51"/>
    </row>
    <row r="27" spans="1:12" hidden="1" x14ac:dyDescent="0.25">
      <c r="A27" s="186"/>
      <c r="B27" s="48" t="s">
        <v>507</v>
      </c>
      <c r="C27" s="1"/>
      <c r="D27" s="1"/>
      <c r="E27" s="1"/>
      <c r="F27" s="1"/>
      <c r="G27" s="1"/>
      <c r="H27" s="51"/>
      <c r="I27" s="51"/>
      <c r="J27" s="51"/>
      <c r="K27" s="45">
        <v>3950</v>
      </c>
    </row>
    <row r="28" spans="1:12" ht="16.149999999999999" hidden="1" customHeight="1" x14ac:dyDescent="0.25">
      <c r="A28" s="186"/>
      <c r="B28" s="48"/>
      <c r="C28" s="1"/>
      <c r="D28" s="1"/>
      <c r="E28" s="1"/>
      <c r="F28" s="1"/>
      <c r="G28" s="1"/>
      <c r="H28" s="51"/>
      <c r="I28" s="51"/>
      <c r="J28" s="51"/>
    </row>
    <row r="29" spans="1:12" ht="16.149999999999999" hidden="1" customHeight="1" x14ac:dyDescent="0.25">
      <c r="A29" s="186"/>
      <c r="B29" s="48" t="s">
        <v>519</v>
      </c>
      <c r="C29" s="1"/>
      <c r="D29" s="1"/>
      <c r="E29" s="1"/>
      <c r="F29" s="1"/>
      <c r="G29" s="1"/>
      <c r="H29" s="51"/>
      <c r="I29" s="51">
        <f>15200-15200</f>
        <v>0</v>
      </c>
      <c r="J29" s="51"/>
      <c r="K29" s="51">
        <v>15200</v>
      </c>
    </row>
    <row r="30" spans="1:12" ht="16.149999999999999" customHeight="1" x14ac:dyDescent="0.25">
      <c r="A30" s="186"/>
      <c r="B30" s="48" t="s">
        <v>627</v>
      </c>
      <c r="C30" s="1"/>
      <c r="D30" s="1"/>
      <c r="E30" s="1"/>
      <c r="F30" s="1"/>
      <c r="G30" s="1"/>
      <c r="H30" s="51"/>
      <c r="I30" s="51">
        <v>5900</v>
      </c>
      <c r="J30" s="51"/>
      <c r="K30" s="51"/>
    </row>
    <row r="31" spans="1:12" x14ac:dyDescent="0.25">
      <c r="A31" s="186"/>
      <c r="B31" s="48" t="s">
        <v>520</v>
      </c>
      <c r="C31" s="1"/>
      <c r="D31" s="1"/>
      <c r="E31" s="1"/>
      <c r="F31" s="1"/>
      <c r="G31" s="1"/>
      <c r="H31" s="51"/>
      <c r="I31" s="51">
        <v>254457.25</v>
      </c>
      <c r="J31" s="51"/>
    </row>
    <row r="32" spans="1:12" hidden="1" x14ac:dyDescent="0.25">
      <c r="A32" s="186"/>
      <c r="B32" s="1" t="s">
        <v>550</v>
      </c>
      <c r="C32" s="1"/>
      <c r="D32" s="1"/>
      <c r="E32" s="1"/>
      <c r="F32" s="1"/>
      <c r="G32" s="1"/>
      <c r="H32" s="51"/>
      <c r="I32" s="105"/>
      <c r="J32" s="51"/>
    </row>
    <row r="33" spans="1:13" hidden="1" x14ac:dyDescent="0.25">
      <c r="A33" s="186"/>
      <c r="B33" s="1" t="s">
        <v>551</v>
      </c>
      <c r="C33" s="1"/>
      <c r="D33" s="1"/>
      <c r="E33" s="1"/>
      <c r="F33" s="1"/>
      <c r="G33" s="1"/>
      <c r="H33" s="51"/>
      <c r="I33" s="105"/>
      <c r="J33" s="51"/>
    </row>
    <row r="34" spans="1:13" x14ac:dyDescent="0.25">
      <c r="A34" s="186"/>
      <c r="B34" s="241"/>
      <c r="C34" s="1" t="s">
        <v>181</v>
      </c>
      <c r="D34" s="1"/>
      <c r="E34" s="1"/>
      <c r="F34" s="1"/>
      <c r="G34" s="1"/>
      <c r="H34" s="51"/>
      <c r="I34" s="52"/>
      <c r="J34" s="51">
        <f>SUM(I6:I34)</f>
        <v>316957.25</v>
      </c>
      <c r="K34" s="64">
        <f>I32+I33</f>
        <v>0</v>
      </c>
      <c r="M34" s="50"/>
    </row>
    <row r="35" spans="1:13" ht="16.5" thickBot="1" x14ac:dyDescent="0.3">
      <c r="A35" s="242"/>
      <c r="B35" s="243"/>
      <c r="C35" s="242"/>
      <c r="D35" s="242"/>
      <c r="E35" s="242"/>
      <c r="F35" s="242"/>
      <c r="G35" s="242"/>
      <c r="H35" s="74"/>
      <c r="I35" s="74"/>
      <c r="J35" s="74"/>
      <c r="M35" s="50"/>
    </row>
    <row r="36" spans="1:13" ht="16.5" thickBot="1" x14ac:dyDescent="0.3">
      <c r="A36" s="268" t="s">
        <v>267</v>
      </c>
      <c r="B36" s="268"/>
      <c r="C36" s="268"/>
      <c r="D36" s="268"/>
      <c r="E36" s="268"/>
      <c r="F36" s="268"/>
      <c r="G36" s="268"/>
      <c r="H36" s="268"/>
      <c r="I36" s="268"/>
      <c r="J36" s="53">
        <f>SUM(J7:J34)</f>
        <v>316957.25</v>
      </c>
      <c r="L36" s="189">
        <v>119921.99</v>
      </c>
      <c r="M36" s="50"/>
    </row>
    <row r="37" spans="1:13" x14ac:dyDescent="0.25">
      <c r="L37" s="189">
        <f>L36-J36</f>
        <v>-197035.26</v>
      </c>
    </row>
    <row r="39" spans="1:13" x14ac:dyDescent="0.25">
      <c r="J39" s="189">
        <f>J36+schhA!H866+BalanceSheet!F18+BalanceSheet!F27+BalanceSheet!F33</f>
        <v>89195238.670000002</v>
      </c>
    </row>
    <row r="40" spans="1:13" x14ac:dyDescent="0.25">
      <c r="J40" s="50">
        <f>88669300.44+28437.99</f>
        <v>88697738.429999992</v>
      </c>
    </row>
    <row r="41" spans="1:13" x14ac:dyDescent="0.25">
      <c r="J41" s="189">
        <f>J39-J40</f>
        <v>497500.24000000954</v>
      </c>
    </row>
  </sheetData>
  <mergeCells count="1">
    <mergeCell ref="A36:I36"/>
  </mergeCells>
  <phoneticPr fontId="2" type="noConversion"/>
  <printOptions horizontalCentered="1"/>
  <pageMargins left="0.16" right="0.24" top="1" bottom="1" header="0.5" footer="0.5"/>
  <pageSetup paperSize="9" scale="80" orientation="portrait" r:id="rId1"/>
  <headerFooter alignWithMargins="0">
    <oddFoote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05"/>
  <sheetViews>
    <sheetView view="pageBreakPreview" topLeftCell="A246" zoomScaleNormal="100" zoomScaleSheetLayoutView="100" workbookViewId="0">
      <selection activeCell="I255" sqref="I255"/>
    </sheetView>
  </sheetViews>
  <sheetFormatPr defaultColWidth="9.140625" defaultRowHeight="15.75" x14ac:dyDescent="0.25"/>
  <cols>
    <col min="1" max="1" width="3.7109375" style="188" customWidth="1"/>
    <col min="2" max="2" width="9.140625" style="188"/>
    <col min="3" max="3" width="3.7109375" style="188" customWidth="1"/>
    <col min="4" max="5" width="9.140625" style="188"/>
    <col min="6" max="6" width="11.5703125" style="188" bestFit="1" customWidth="1"/>
    <col min="7" max="7" width="16" style="188" customWidth="1"/>
    <col min="8" max="8" width="28.42578125" style="184" bestFit="1" customWidth="1"/>
    <col min="9" max="9" width="19.42578125" style="184" bestFit="1" customWidth="1"/>
    <col min="10" max="10" width="17.140625" style="188" bestFit="1" customWidth="1"/>
    <col min="11" max="11" width="14.7109375" style="188" bestFit="1" customWidth="1"/>
    <col min="12" max="12" width="16" style="188" bestFit="1" customWidth="1"/>
    <col min="13" max="16384" width="9.140625" style="188"/>
  </cols>
  <sheetData>
    <row r="1" spans="1:11" x14ac:dyDescent="0.25">
      <c r="A1" s="191" t="s">
        <v>131</v>
      </c>
      <c r="D1" s="191" t="s">
        <v>44</v>
      </c>
    </row>
    <row r="3" spans="1:11" x14ac:dyDescent="0.25">
      <c r="A3" s="190" t="s">
        <v>637</v>
      </c>
    </row>
    <row r="5" spans="1:11" x14ac:dyDescent="0.25">
      <c r="A5" s="190" t="s">
        <v>140</v>
      </c>
      <c r="B5" s="190" t="s">
        <v>46</v>
      </c>
      <c r="H5" s="192" t="s">
        <v>275</v>
      </c>
      <c r="I5" s="192" t="s">
        <v>275</v>
      </c>
    </row>
    <row r="7" spans="1:11" x14ac:dyDescent="0.25">
      <c r="B7" s="191" t="s">
        <v>47</v>
      </c>
    </row>
    <row r="9" spans="1:11" x14ac:dyDescent="0.25">
      <c r="B9" s="188" t="s">
        <v>45</v>
      </c>
      <c r="H9" s="184">
        <v>11750332</v>
      </c>
    </row>
    <row r="10" spans="1:11" x14ac:dyDescent="0.25">
      <c r="B10" s="188" t="s">
        <v>485</v>
      </c>
    </row>
    <row r="11" spans="1:11" x14ac:dyDescent="0.25">
      <c r="B11" s="188" t="s">
        <v>486</v>
      </c>
      <c r="H11" s="193">
        <v>7394147</v>
      </c>
      <c r="I11" s="184">
        <f>H10+H9-H11</f>
        <v>4356185</v>
      </c>
      <c r="K11" s="194"/>
    </row>
    <row r="13" spans="1:11" x14ac:dyDescent="0.25">
      <c r="B13" s="190" t="s">
        <v>48</v>
      </c>
    </row>
    <row r="15" spans="1:11" x14ac:dyDescent="0.25">
      <c r="B15" s="188" t="s">
        <v>45</v>
      </c>
      <c r="H15" s="195">
        <v>24821579</v>
      </c>
      <c r="J15" s="188">
        <f>1375482+18404769</f>
        <v>19780251</v>
      </c>
    </row>
    <row r="16" spans="1:11" x14ac:dyDescent="0.25">
      <c r="B16" s="188" t="s">
        <v>360</v>
      </c>
      <c r="H16" s="195">
        <f>8849000</f>
        <v>8849000</v>
      </c>
    </row>
    <row r="17" spans="1:11" x14ac:dyDescent="0.25">
      <c r="B17" s="188" t="s">
        <v>486</v>
      </c>
      <c r="H17" s="195">
        <f>11802895+718175.3</f>
        <v>12521070.300000001</v>
      </c>
      <c r="J17" s="194"/>
    </row>
    <row r="18" spans="1:11" x14ac:dyDescent="0.25">
      <c r="B18" s="188" t="s">
        <v>282</v>
      </c>
      <c r="H18" s="195">
        <v>1375444</v>
      </c>
      <c r="I18" s="188"/>
      <c r="J18" s="194"/>
    </row>
    <row r="19" spans="1:11" x14ac:dyDescent="0.25">
      <c r="B19" s="188" t="s">
        <v>486</v>
      </c>
      <c r="H19" s="195">
        <v>699122.7</v>
      </c>
      <c r="I19" s="188"/>
    </row>
    <row r="20" spans="1:11" x14ac:dyDescent="0.25">
      <c r="B20" s="188" t="s">
        <v>360</v>
      </c>
      <c r="H20" s="193">
        <v>0</v>
      </c>
      <c r="I20" s="184">
        <f>H15+H16-H17+H18-H19</f>
        <v>21825830</v>
      </c>
      <c r="J20" s="194"/>
    </row>
    <row r="21" spans="1:11" x14ac:dyDescent="0.25">
      <c r="J21" s="194"/>
    </row>
    <row r="22" spans="1:11" x14ac:dyDescent="0.25">
      <c r="B22" s="190" t="s">
        <v>49</v>
      </c>
    </row>
    <row r="23" spans="1:11" x14ac:dyDescent="0.25">
      <c r="B23" s="188" t="s">
        <v>45</v>
      </c>
      <c r="H23" s="184">
        <f>301500+25000+25000</f>
        <v>351500</v>
      </c>
      <c r="K23" s="184"/>
    </row>
    <row r="24" spans="1:11" x14ac:dyDescent="0.25">
      <c r="H24" s="193"/>
      <c r="I24" s="184">
        <f>H23+H24</f>
        <v>351500</v>
      </c>
    </row>
    <row r="26" spans="1:11" x14ac:dyDescent="0.25">
      <c r="B26" s="190" t="s">
        <v>226</v>
      </c>
    </row>
    <row r="27" spans="1:11" x14ac:dyDescent="0.25">
      <c r="B27" s="188" t="s">
        <v>45</v>
      </c>
      <c r="H27" s="184">
        <v>2200000</v>
      </c>
    </row>
    <row r="28" spans="1:11" x14ac:dyDescent="0.25">
      <c r="B28" s="188" t="s">
        <v>360</v>
      </c>
    </row>
    <row r="29" spans="1:11" x14ac:dyDescent="0.25">
      <c r="H29" s="193"/>
      <c r="I29" s="184">
        <f>H27+H28</f>
        <v>2200000</v>
      </c>
    </row>
    <row r="30" spans="1:11" ht="16.5" thickBot="1" x14ac:dyDescent="0.3">
      <c r="A30" s="196"/>
      <c r="B30" s="196"/>
      <c r="C30" s="196"/>
      <c r="D30" s="196"/>
      <c r="E30" s="196"/>
      <c r="F30" s="196"/>
      <c r="G30" s="196"/>
      <c r="H30" s="197"/>
      <c r="I30" s="197"/>
    </row>
    <row r="31" spans="1:11" ht="16.5" thickBot="1" x14ac:dyDescent="0.3">
      <c r="A31" s="269" t="s">
        <v>141</v>
      </c>
      <c r="B31" s="269"/>
      <c r="C31" s="269"/>
      <c r="D31" s="269"/>
      <c r="E31" s="269"/>
      <c r="F31" s="269"/>
      <c r="G31" s="269"/>
      <c r="H31" s="269"/>
      <c r="I31" s="198">
        <f>SUM(I9:I30)</f>
        <v>28733515</v>
      </c>
    </row>
    <row r="33" spans="1:9" x14ac:dyDescent="0.25">
      <c r="A33" s="190" t="s">
        <v>139</v>
      </c>
      <c r="B33" s="190" t="s">
        <v>132</v>
      </c>
      <c r="H33" s="192" t="s">
        <v>275</v>
      </c>
      <c r="I33" s="192" t="s">
        <v>275</v>
      </c>
    </row>
    <row r="35" spans="1:9" x14ac:dyDescent="0.25">
      <c r="B35" s="191" t="s">
        <v>133</v>
      </c>
    </row>
    <row r="36" spans="1:9" x14ac:dyDescent="0.25">
      <c r="B36" s="191"/>
    </row>
    <row r="37" spans="1:9" x14ac:dyDescent="0.25">
      <c r="B37" s="190" t="s">
        <v>43</v>
      </c>
    </row>
    <row r="38" spans="1:9" x14ac:dyDescent="0.25">
      <c r="B38" s="190" t="s">
        <v>134</v>
      </c>
    </row>
    <row r="39" spans="1:9" x14ac:dyDescent="0.25">
      <c r="B39" s="188" t="s">
        <v>45</v>
      </c>
      <c r="H39" s="184">
        <f>456130-400</f>
        <v>455730</v>
      </c>
    </row>
    <row r="40" spans="1:9" x14ac:dyDescent="0.25">
      <c r="B40" s="188" t="s">
        <v>282</v>
      </c>
      <c r="H40" s="184">
        <v>150000</v>
      </c>
      <c r="I40" s="184">
        <f>SUM(H39:H39)+H40</f>
        <v>605730</v>
      </c>
    </row>
    <row r="43" spans="1:9" x14ac:dyDescent="0.25">
      <c r="B43" s="190" t="s">
        <v>15</v>
      </c>
    </row>
    <row r="44" spans="1:9" x14ac:dyDescent="0.25">
      <c r="B44" s="188" t="s">
        <v>45</v>
      </c>
      <c r="H44" s="184">
        <f>76000</f>
        <v>76000</v>
      </c>
    </row>
    <row r="45" spans="1:9" x14ac:dyDescent="0.25">
      <c r="H45" s="193"/>
      <c r="I45" s="184">
        <f>H44</f>
        <v>76000</v>
      </c>
    </row>
    <row r="47" spans="1:9" x14ac:dyDescent="0.25">
      <c r="B47" s="190" t="s">
        <v>17</v>
      </c>
    </row>
    <row r="48" spans="1:9" x14ac:dyDescent="0.25">
      <c r="B48" s="188" t="s">
        <v>282</v>
      </c>
      <c r="H48" s="184">
        <f>10000</f>
        <v>10000</v>
      </c>
      <c r="I48" s="188"/>
    </row>
    <row r="49" spans="2:9" x14ac:dyDescent="0.25">
      <c r="B49" s="188" t="s">
        <v>494</v>
      </c>
      <c r="H49" s="184">
        <f>6488</f>
        <v>6488</v>
      </c>
      <c r="I49" s="188"/>
    </row>
    <row r="50" spans="2:9" x14ac:dyDescent="0.25">
      <c r="B50" s="188" t="s">
        <v>45</v>
      </c>
      <c r="H50" s="195">
        <v>25000</v>
      </c>
      <c r="I50" s="188"/>
    </row>
    <row r="51" spans="2:9" x14ac:dyDescent="0.25">
      <c r="B51" s="188" t="s">
        <v>496</v>
      </c>
      <c r="H51" s="193">
        <v>0</v>
      </c>
      <c r="I51" s="184">
        <f>H50+H48+H49-H51</f>
        <v>41488</v>
      </c>
    </row>
    <row r="53" spans="2:9" x14ac:dyDescent="0.25">
      <c r="B53" s="190" t="s">
        <v>136</v>
      </c>
      <c r="C53" s="190"/>
    </row>
    <row r="54" spans="2:9" x14ac:dyDescent="0.25">
      <c r="B54" s="190" t="s">
        <v>135</v>
      </c>
      <c r="C54" s="190"/>
    </row>
    <row r="55" spans="2:9" x14ac:dyDescent="0.25">
      <c r="B55" s="188" t="s">
        <v>45</v>
      </c>
      <c r="C55" s="190"/>
      <c r="H55" s="184">
        <v>85000</v>
      </c>
    </row>
    <row r="56" spans="2:9" x14ac:dyDescent="0.25">
      <c r="B56" s="188" t="s">
        <v>491</v>
      </c>
      <c r="C56" s="190"/>
      <c r="H56" s="184">
        <v>0</v>
      </c>
    </row>
    <row r="57" spans="2:9" x14ac:dyDescent="0.25">
      <c r="B57" s="188" t="s">
        <v>282</v>
      </c>
      <c r="H57" s="193">
        <v>123661</v>
      </c>
      <c r="I57" s="184">
        <f>H57+H55+H56</f>
        <v>208661</v>
      </c>
    </row>
    <row r="59" spans="2:9" x14ac:dyDescent="0.25">
      <c r="B59" s="190" t="s">
        <v>20</v>
      </c>
    </row>
    <row r="60" spans="2:9" x14ac:dyDescent="0.25">
      <c r="B60" s="188" t="s">
        <v>45</v>
      </c>
      <c r="H60" s="184">
        <f>130000</f>
        <v>130000</v>
      </c>
    </row>
    <row r="61" spans="2:9" x14ac:dyDescent="0.25">
      <c r="B61" s="188" t="s">
        <v>282</v>
      </c>
      <c r="H61" s="195">
        <v>20000</v>
      </c>
      <c r="I61" s="188"/>
    </row>
    <row r="62" spans="2:9" x14ac:dyDescent="0.25">
      <c r="B62" s="188" t="s">
        <v>493</v>
      </c>
      <c r="H62" s="193">
        <v>12978</v>
      </c>
      <c r="I62" s="184">
        <f>H60+H61+H62</f>
        <v>162978</v>
      </c>
    </row>
    <row r="64" spans="2:9" x14ac:dyDescent="0.25">
      <c r="B64" s="190" t="s">
        <v>254</v>
      </c>
    </row>
    <row r="65" spans="2:10" x14ac:dyDescent="0.25">
      <c r="B65" s="188" t="s">
        <v>45</v>
      </c>
      <c r="H65" s="193">
        <v>163000</v>
      </c>
      <c r="I65" s="184">
        <f>SUM(H65:H65)</f>
        <v>163000</v>
      </c>
    </row>
    <row r="66" spans="2:10" x14ac:dyDescent="0.25">
      <c r="H66" s="195"/>
    </row>
    <row r="67" spans="2:10" x14ac:dyDescent="0.25">
      <c r="B67" s="190" t="s">
        <v>621</v>
      </c>
    </row>
    <row r="68" spans="2:10" x14ac:dyDescent="0.25">
      <c r="B68" s="188" t="s">
        <v>45</v>
      </c>
      <c r="H68" s="193">
        <v>500000</v>
      </c>
      <c r="I68" s="184">
        <f>SUM(H68:H68)</f>
        <v>500000</v>
      </c>
    </row>
    <row r="72" spans="2:10" x14ac:dyDescent="0.25">
      <c r="B72" s="191" t="s">
        <v>114</v>
      </c>
    </row>
    <row r="74" spans="2:10" x14ac:dyDescent="0.25">
      <c r="B74" s="190" t="s">
        <v>13</v>
      </c>
    </row>
    <row r="75" spans="2:10" x14ac:dyDescent="0.25">
      <c r="B75" s="188" t="s">
        <v>45</v>
      </c>
      <c r="H75" s="184">
        <v>115000</v>
      </c>
      <c r="J75" s="188">
        <v>150000</v>
      </c>
    </row>
    <row r="76" spans="2:10" x14ac:dyDescent="0.25">
      <c r="H76" s="193"/>
      <c r="I76" s="184">
        <f>H75+H76</f>
        <v>115000</v>
      </c>
    </row>
    <row r="78" spans="2:10" x14ac:dyDescent="0.25">
      <c r="B78" s="190" t="s">
        <v>41</v>
      </c>
    </row>
    <row r="79" spans="2:10" x14ac:dyDescent="0.25">
      <c r="B79" s="188" t="s">
        <v>45</v>
      </c>
      <c r="H79" s="193">
        <v>50000</v>
      </c>
      <c r="I79" s="184">
        <f>+H79</f>
        <v>50000</v>
      </c>
    </row>
    <row r="81" spans="2:9" x14ac:dyDescent="0.25">
      <c r="B81" s="190" t="s">
        <v>162</v>
      </c>
    </row>
    <row r="82" spans="2:9" x14ac:dyDescent="0.25">
      <c r="B82" s="188" t="s">
        <v>282</v>
      </c>
      <c r="H82" s="184">
        <v>3000</v>
      </c>
    </row>
    <row r="83" spans="2:9" x14ac:dyDescent="0.25">
      <c r="B83" s="188" t="s">
        <v>493</v>
      </c>
      <c r="H83" s="184">
        <v>1945</v>
      </c>
    </row>
    <row r="84" spans="2:9" x14ac:dyDescent="0.25">
      <c r="B84" s="188" t="s">
        <v>45</v>
      </c>
      <c r="H84" s="193">
        <f>20000+20000</f>
        <v>40000</v>
      </c>
      <c r="I84" s="184">
        <f>SUM(H82:H84)</f>
        <v>44945</v>
      </c>
    </row>
    <row r="86" spans="2:9" x14ac:dyDescent="0.25">
      <c r="B86" s="190" t="s">
        <v>26</v>
      </c>
    </row>
    <row r="87" spans="2:9" x14ac:dyDescent="0.25">
      <c r="B87" s="188" t="s">
        <v>45</v>
      </c>
      <c r="H87" s="193">
        <f>35000+20000</f>
        <v>55000</v>
      </c>
      <c r="I87" s="184">
        <f>H87+H88</f>
        <v>55000</v>
      </c>
    </row>
    <row r="88" spans="2:9" x14ac:dyDescent="0.25">
      <c r="I88" s="188"/>
    </row>
    <row r="89" spans="2:9" x14ac:dyDescent="0.25">
      <c r="B89" s="190" t="s">
        <v>22</v>
      </c>
    </row>
    <row r="90" spans="2:9" x14ac:dyDescent="0.25">
      <c r="B90" s="188" t="s">
        <v>45</v>
      </c>
      <c r="H90" s="184">
        <f>62500+80000</f>
        <v>142500</v>
      </c>
    </row>
    <row r="91" spans="2:9" x14ac:dyDescent="0.25">
      <c r="B91" s="188" t="s">
        <v>282</v>
      </c>
      <c r="H91" s="195">
        <v>20000</v>
      </c>
      <c r="I91" s="188"/>
    </row>
    <row r="92" spans="2:9" x14ac:dyDescent="0.25">
      <c r="B92" s="188" t="s">
        <v>493</v>
      </c>
      <c r="H92" s="193">
        <f>12978</f>
        <v>12978</v>
      </c>
      <c r="I92" s="184">
        <f>SUM(H90:H92)</f>
        <v>175478</v>
      </c>
    </row>
    <row r="94" spans="2:9" x14ac:dyDescent="0.25">
      <c r="B94" s="190" t="s">
        <v>73</v>
      </c>
    </row>
    <row r="95" spans="2:9" x14ac:dyDescent="0.25">
      <c r="B95" s="188" t="s">
        <v>282</v>
      </c>
      <c r="H95" s="195">
        <v>200000</v>
      </c>
      <c r="I95" s="188"/>
    </row>
    <row r="96" spans="2:9" x14ac:dyDescent="0.25">
      <c r="B96" s="188" t="s">
        <v>494</v>
      </c>
      <c r="H96" s="193">
        <v>112133</v>
      </c>
      <c r="I96" s="184">
        <f>SUM(H95:H96)</f>
        <v>312133</v>
      </c>
    </row>
    <row r="98" spans="2:9" x14ac:dyDescent="0.25">
      <c r="B98" s="190" t="s">
        <v>32</v>
      </c>
    </row>
    <row r="99" spans="2:9" x14ac:dyDescent="0.25">
      <c r="B99" s="188" t="s">
        <v>45</v>
      </c>
      <c r="H99" s="193">
        <f>115000</f>
        <v>115000</v>
      </c>
      <c r="I99" s="184">
        <f>H99</f>
        <v>115000</v>
      </c>
    </row>
    <row r="101" spans="2:9" x14ac:dyDescent="0.25">
      <c r="B101" s="190" t="s">
        <v>42</v>
      </c>
    </row>
    <row r="102" spans="2:9" x14ac:dyDescent="0.25">
      <c r="B102" s="188" t="s">
        <v>283</v>
      </c>
      <c r="H102" s="193">
        <v>50000</v>
      </c>
      <c r="I102" s="184">
        <f>SUM(H102:H102)</f>
        <v>50000</v>
      </c>
    </row>
    <row r="104" spans="2:9" x14ac:dyDescent="0.25">
      <c r="B104" s="190" t="s">
        <v>160</v>
      </c>
    </row>
    <row r="105" spans="2:9" x14ac:dyDescent="0.25">
      <c r="B105" s="188" t="s">
        <v>45</v>
      </c>
      <c r="H105" s="193">
        <v>250000</v>
      </c>
      <c r="I105" s="184">
        <f>+H105</f>
        <v>250000</v>
      </c>
    </row>
    <row r="107" spans="2:9" x14ac:dyDescent="0.25">
      <c r="B107" s="190" t="s">
        <v>237</v>
      </c>
    </row>
    <row r="108" spans="2:9" x14ac:dyDescent="0.25">
      <c r="B108" s="188" t="s">
        <v>45</v>
      </c>
      <c r="H108" s="193">
        <v>200000</v>
      </c>
      <c r="I108" s="184">
        <f>H108</f>
        <v>200000</v>
      </c>
    </row>
    <row r="110" spans="2:9" x14ac:dyDescent="0.25">
      <c r="B110" s="199" t="s">
        <v>243</v>
      </c>
    </row>
    <row r="111" spans="2:9" x14ac:dyDescent="0.25">
      <c r="B111" s="188" t="s">
        <v>45</v>
      </c>
      <c r="H111" s="193">
        <v>200000</v>
      </c>
      <c r="I111" s="184">
        <f>H111</f>
        <v>200000</v>
      </c>
    </row>
    <row r="113" spans="1:9" x14ac:dyDescent="0.25">
      <c r="B113" s="190" t="s">
        <v>239</v>
      </c>
    </row>
    <row r="114" spans="1:9" x14ac:dyDescent="0.25">
      <c r="B114" s="188" t="s">
        <v>45</v>
      </c>
      <c r="H114" s="193">
        <v>200000</v>
      </c>
      <c r="I114" s="184">
        <f>H114</f>
        <v>200000</v>
      </c>
    </row>
    <row r="116" spans="1:9" x14ac:dyDescent="0.25">
      <c r="B116" s="190" t="s">
        <v>177</v>
      </c>
    </row>
    <row r="117" spans="1:9" x14ac:dyDescent="0.25">
      <c r="B117" s="188" t="s">
        <v>45</v>
      </c>
      <c r="H117" s="193">
        <v>100000</v>
      </c>
      <c r="I117" s="184">
        <f>SUM(H117:H117)</f>
        <v>100000</v>
      </c>
    </row>
    <row r="118" spans="1:9" ht="16.5" thickBot="1" x14ac:dyDescent="0.3">
      <c r="A118" s="196"/>
      <c r="B118" s="196"/>
      <c r="C118" s="196"/>
      <c r="D118" s="196"/>
      <c r="E118" s="196"/>
      <c r="F118" s="196"/>
      <c r="G118" s="196"/>
      <c r="H118" s="197"/>
      <c r="I118" s="197"/>
    </row>
    <row r="120" spans="1:9" x14ac:dyDescent="0.25">
      <c r="B120" s="191" t="s">
        <v>143</v>
      </c>
    </row>
    <row r="121" spans="1:9" x14ac:dyDescent="0.25">
      <c r="B121" s="191"/>
    </row>
    <row r="122" spans="1:9" x14ac:dyDescent="0.25">
      <c r="B122" s="190" t="s">
        <v>296</v>
      </c>
    </row>
    <row r="123" spans="1:9" x14ac:dyDescent="0.25">
      <c r="B123" s="188" t="s">
        <v>45</v>
      </c>
      <c r="H123" s="184">
        <v>2400000</v>
      </c>
    </row>
    <row r="124" spans="1:9" x14ac:dyDescent="0.25">
      <c r="B124" s="188" t="s">
        <v>363</v>
      </c>
      <c r="H124" s="193"/>
      <c r="I124" s="184">
        <f>SUM(H123:H124)</f>
        <v>2400000</v>
      </c>
    </row>
    <row r="127" spans="1:9" x14ac:dyDescent="0.25">
      <c r="B127" s="191" t="s">
        <v>137</v>
      </c>
    </row>
    <row r="129" spans="2:9" x14ac:dyDescent="0.25">
      <c r="B129" s="190" t="s">
        <v>156</v>
      </c>
    </row>
    <row r="130" spans="2:9" x14ac:dyDescent="0.25">
      <c r="B130" s="188" t="s">
        <v>282</v>
      </c>
      <c r="H130" s="184">
        <v>135000</v>
      </c>
    </row>
    <row r="131" spans="2:9" x14ac:dyDescent="0.25">
      <c r="B131" s="188" t="s">
        <v>495</v>
      </c>
      <c r="H131" s="184">
        <f>51904+28547</f>
        <v>80451</v>
      </c>
    </row>
    <row r="132" spans="2:9" x14ac:dyDescent="0.25">
      <c r="B132" s="188" t="s">
        <v>45</v>
      </c>
      <c r="H132" s="193">
        <f>206100+146000-91000-80000-55000</f>
        <v>126100</v>
      </c>
      <c r="I132" s="184">
        <f>SUM(H130:H132)</f>
        <v>341551</v>
      </c>
    </row>
    <row r="134" spans="2:9" x14ac:dyDescent="0.25">
      <c r="B134" s="190" t="s">
        <v>18</v>
      </c>
    </row>
    <row r="135" spans="2:9" x14ac:dyDescent="0.25">
      <c r="B135" s="188" t="s">
        <v>45</v>
      </c>
      <c r="H135" s="184">
        <v>50000</v>
      </c>
    </row>
    <row r="136" spans="2:9" x14ac:dyDescent="0.25">
      <c r="B136" s="188" t="s">
        <v>282</v>
      </c>
      <c r="H136" s="195">
        <f>150000+150000-150000</f>
        <v>150000</v>
      </c>
      <c r="I136" s="188"/>
    </row>
    <row r="137" spans="2:9" x14ac:dyDescent="0.25">
      <c r="B137" s="188" t="s">
        <v>492</v>
      </c>
      <c r="H137" s="193">
        <v>81860</v>
      </c>
      <c r="I137" s="184">
        <f>H136+H135+H137</f>
        <v>281860</v>
      </c>
    </row>
    <row r="139" spans="2:9" x14ac:dyDescent="0.25">
      <c r="B139" s="190" t="s">
        <v>34</v>
      </c>
      <c r="C139" s="190"/>
    </row>
    <row r="140" spans="2:9" x14ac:dyDescent="0.25">
      <c r="B140" s="188" t="s">
        <v>283</v>
      </c>
      <c r="C140" s="190"/>
      <c r="H140" s="184">
        <v>50000</v>
      </c>
    </row>
    <row r="141" spans="2:9" x14ac:dyDescent="0.25">
      <c r="B141" s="188" t="s">
        <v>282</v>
      </c>
      <c r="H141" s="193">
        <f>400000+100000-200000-100000-10+100000</f>
        <v>299990</v>
      </c>
      <c r="I141" s="184">
        <f>SUM(H140:H141)</f>
        <v>349990</v>
      </c>
    </row>
    <row r="143" spans="2:9" x14ac:dyDescent="0.25">
      <c r="B143" s="190" t="s">
        <v>91</v>
      </c>
    </row>
    <row r="144" spans="2:9" x14ac:dyDescent="0.25">
      <c r="B144" s="188" t="s">
        <v>45</v>
      </c>
      <c r="H144" s="193">
        <f>51000+25000</f>
        <v>76000</v>
      </c>
      <c r="I144" s="184">
        <f>SUM(H144:H144)</f>
        <v>76000</v>
      </c>
    </row>
    <row r="146" spans="2:9" x14ac:dyDescent="0.25">
      <c r="B146" s="190" t="s">
        <v>92</v>
      </c>
    </row>
    <row r="147" spans="2:9" x14ac:dyDescent="0.25">
      <c r="B147" s="188" t="s">
        <v>45</v>
      </c>
      <c r="H147" s="193">
        <v>200000</v>
      </c>
      <c r="I147" s="184">
        <f>SUM(H147:H147)</f>
        <v>200000</v>
      </c>
    </row>
    <row r="149" spans="2:9" x14ac:dyDescent="0.25">
      <c r="B149" s="190" t="s">
        <v>194</v>
      </c>
    </row>
    <row r="150" spans="2:9" x14ac:dyDescent="0.25">
      <c r="B150" s="188" t="s">
        <v>45</v>
      </c>
      <c r="H150" s="193">
        <v>1000000</v>
      </c>
      <c r="I150" s="184">
        <f>SUM(H150:H150)</f>
        <v>1000000</v>
      </c>
    </row>
    <row r="152" spans="2:9" x14ac:dyDescent="0.25">
      <c r="B152" s="190" t="s">
        <v>297</v>
      </c>
    </row>
    <row r="153" spans="2:9" x14ac:dyDescent="0.25">
      <c r="B153" s="188" t="s">
        <v>45</v>
      </c>
      <c r="H153" s="193">
        <f>30000+30000</f>
        <v>60000</v>
      </c>
      <c r="I153" s="184">
        <f>H153</f>
        <v>60000</v>
      </c>
    </row>
    <row r="155" spans="2:9" x14ac:dyDescent="0.25">
      <c r="B155" s="190" t="s">
        <v>298</v>
      </c>
    </row>
    <row r="156" spans="2:9" x14ac:dyDescent="0.25">
      <c r="B156" s="188" t="s">
        <v>45</v>
      </c>
      <c r="H156" s="193">
        <v>200000</v>
      </c>
      <c r="I156" s="184">
        <f>H156</f>
        <v>200000</v>
      </c>
    </row>
    <row r="157" spans="2:9" x14ac:dyDescent="0.25">
      <c r="H157" s="195"/>
    </row>
    <row r="158" spans="2:9" x14ac:dyDescent="0.25">
      <c r="B158" s="190" t="s">
        <v>581</v>
      </c>
      <c r="C158" s="190"/>
      <c r="D158" s="190"/>
      <c r="E158" s="190"/>
      <c r="F158" s="190"/>
      <c r="H158" s="195"/>
    </row>
    <row r="159" spans="2:9" x14ac:dyDescent="0.25">
      <c r="B159" s="188" t="s">
        <v>45</v>
      </c>
      <c r="H159" s="193">
        <v>100000</v>
      </c>
      <c r="I159" s="193">
        <v>100000</v>
      </c>
    </row>
    <row r="161" spans="1:9" x14ac:dyDescent="0.25">
      <c r="B161" s="190" t="s">
        <v>178</v>
      </c>
    </row>
    <row r="162" spans="1:9" x14ac:dyDescent="0.25">
      <c r="B162" s="188" t="s">
        <v>282</v>
      </c>
      <c r="H162" s="195">
        <v>157242</v>
      </c>
      <c r="I162" s="188"/>
    </row>
    <row r="163" spans="1:9" x14ac:dyDescent="0.25">
      <c r="B163" s="188" t="s">
        <v>492</v>
      </c>
      <c r="H163" s="193"/>
      <c r="I163" s="184">
        <f>SUM(H162:H163)</f>
        <v>157242</v>
      </c>
    </row>
    <row r="166" spans="1:9" x14ac:dyDescent="0.25">
      <c r="B166" s="190" t="s">
        <v>276</v>
      </c>
    </row>
    <row r="167" spans="1:9" x14ac:dyDescent="0.25">
      <c r="B167" s="188" t="s">
        <v>45</v>
      </c>
      <c r="H167" s="184">
        <v>200000</v>
      </c>
    </row>
    <row r="168" spans="1:9" x14ac:dyDescent="0.25">
      <c r="B168" s="188" t="s">
        <v>487</v>
      </c>
      <c r="H168" s="193"/>
      <c r="I168" s="184">
        <f>H168+H167</f>
        <v>200000</v>
      </c>
    </row>
    <row r="169" spans="1:9" x14ac:dyDescent="0.25">
      <c r="H169" s="195"/>
    </row>
    <row r="170" spans="1:9" x14ac:dyDescent="0.25">
      <c r="B170" s="190" t="s">
        <v>620</v>
      </c>
    </row>
    <row r="171" spans="1:9" x14ac:dyDescent="0.25">
      <c r="B171" s="188" t="s">
        <v>45</v>
      </c>
      <c r="H171" s="184">
        <v>200000</v>
      </c>
    </row>
    <row r="172" spans="1:9" x14ac:dyDescent="0.25">
      <c r="B172" s="188" t="s">
        <v>487</v>
      </c>
      <c r="H172" s="193"/>
      <c r="I172" s="184">
        <f>H172+H171</f>
        <v>200000</v>
      </c>
    </row>
    <row r="173" spans="1:9" ht="16.5" thickBot="1" x14ac:dyDescent="0.3">
      <c r="A173" s="196"/>
      <c r="B173" s="196"/>
      <c r="C173" s="196"/>
      <c r="D173" s="196"/>
      <c r="E173" s="196"/>
      <c r="F173" s="196"/>
      <c r="G173" s="196"/>
      <c r="H173" s="197"/>
      <c r="I173" s="197"/>
    </row>
    <row r="175" spans="1:9" x14ac:dyDescent="0.25">
      <c r="B175" s="191" t="s">
        <v>193</v>
      </c>
    </row>
    <row r="177" spans="2:9" x14ac:dyDescent="0.25">
      <c r="B177" s="190" t="s">
        <v>24</v>
      </c>
    </row>
    <row r="178" spans="2:9" x14ac:dyDescent="0.25">
      <c r="B178" s="188" t="s">
        <v>45</v>
      </c>
      <c r="H178" s="193">
        <v>105000</v>
      </c>
      <c r="I178" s="184">
        <f>SUM(H178:H178)</f>
        <v>105000</v>
      </c>
    </row>
    <row r="180" spans="2:9" x14ac:dyDescent="0.25">
      <c r="B180" s="190" t="s">
        <v>36</v>
      </c>
    </row>
    <row r="181" spans="2:9" x14ac:dyDescent="0.25">
      <c r="B181" s="188" t="s">
        <v>282</v>
      </c>
      <c r="H181" s="195">
        <v>454228</v>
      </c>
      <c r="I181" s="188"/>
    </row>
    <row r="182" spans="2:9" x14ac:dyDescent="0.25">
      <c r="B182" s="188" t="s">
        <v>493</v>
      </c>
      <c r="H182" s="193"/>
      <c r="I182" s="184">
        <f>H181+H182</f>
        <v>454228</v>
      </c>
    </row>
    <row r="184" spans="2:9" x14ac:dyDescent="0.25">
      <c r="B184" s="190" t="s">
        <v>38</v>
      </c>
    </row>
    <row r="185" spans="2:9" x14ac:dyDescent="0.25">
      <c r="B185" s="188" t="s">
        <v>45</v>
      </c>
      <c r="H185" s="193">
        <v>320000</v>
      </c>
      <c r="I185" s="184">
        <f>SUM(H185:H185)</f>
        <v>320000</v>
      </c>
    </row>
    <row r="187" spans="2:9" x14ac:dyDescent="0.25">
      <c r="B187" s="190" t="s">
        <v>138</v>
      </c>
    </row>
    <row r="188" spans="2:9" x14ac:dyDescent="0.25">
      <c r="B188" s="188" t="s">
        <v>45</v>
      </c>
      <c r="H188" s="193">
        <v>1000000</v>
      </c>
      <c r="I188" s="184">
        <f>SUM(H188:H188)</f>
        <v>1000000</v>
      </c>
    </row>
    <row r="190" spans="2:9" x14ac:dyDescent="0.25">
      <c r="B190" s="190" t="s">
        <v>361</v>
      </c>
    </row>
    <row r="191" spans="2:9" x14ac:dyDescent="0.25">
      <c r="B191" s="188" t="s">
        <v>45</v>
      </c>
      <c r="H191" s="184">
        <v>500000</v>
      </c>
      <c r="I191" s="184">
        <f>H191</f>
        <v>500000</v>
      </c>
    </row>
    <row r="193" spans="1:9" x14ac:dyDescent="0.25">
      <c r="B193" s="190" t="s">
        <v>362</v>
      </c>
    </row>
    <row r="194" spans="1:9" x14ac:dyDescent="0.25">
      <c r="B194" s="188" t="s">
        <v>45</v>
      </c>
      <c r="H194" s="184">
        <v>500000</v>
      </c>
      <c r="I194" s="184">
        <f>H194</f>
        <v>500000</v>
      </c>
    </row>
    <row r="195" spans="1:9" ht="16.5" thickBot="1" x14ac:dyDescent="0.3">
      <c r="A195" s="196"/>
      <c r="B195" s="196"/>
      <c r="C195" s="196"/>
      <c r="D195" s="196"/>
      <c r="E195" s="196"/>
      <c r="F195" s="196"/>
      <c r="G195" s="196"/>
      <c r="H195" s="197"/>
      <c r="I195" s="197"/>
    </row>
    <row r="197" spans="1:9" x14ac:dyDescent="0.25">
      <c r="B197" s="191" t="s">
        <v>123</v>
      </c>
    </row>
    <row r="199" spans="1:9" x14ac:dyDescent="0.25">
      <c r="B199" s="190" t="s">
        <v>12</v>
      </c>
    </row>
    <row r="200" spans="1:9" x14ac:dyDescent="0.25">
      <c r="B200" s="188" t="s">
        <v>45</v>
      </c>
      <c r="H200" s="193">
        <v>244936</v>
      </c>
    </row>
    <row r="201" spans="1:9" x14ac:dyDescent="0.25">
      <c r="I201" s="184">
        <f>SUM(H200:H201)</f>
        <v>244936</v>
      </c>
    </row>
    <row r="203" spans="1:9" x14ac:dyDescent="0.25">
      <c r="B203" s="190" t="s">
        <v>9</v>
      </c>
    </row>
    <row r="204" spans="1:9" x14ac:dyDescent="0.25">
      <c r="B204" s="188" t="s">
        <v>282</v>
      </c>
      <c r="H204" s="193">
        <v>15000</v>
      </c>
      <c r="I204" s="184">
        <f>SUM(H204:H204)</f>
        <v>15000</v>
      </c>
    </row>
    <row r="205" spans="1:9" ht="16.5" thickBot="1" x14ac:dyDescent="0.3">
      <c r="A205" s="196"/>
      <c r="B205" s="196"/>
      <c r="C205" s="196"/>
      <c r="D205" s="196"/>
      <c r="E205" s="196"/>
      <c r="F205" s="196"/>
      <c r="G205" s="196"/>
      <c r="H205" s="197"/>
      <c r="I205" s="197"/>
    </row>
    <row r="207" spans="1:9" x14ac:dyDescent="0.25">
      <c r="B207" s="191" t="s">
        <v>129</v>
      </c>
    </row>
    <row r="210" spans="2:9" x14ac:dyDescent="0.25">
      <c r="B210" s="190" t="s">
        <v>168</v>
      </c>
    </row>
    <row r="211" spans="2:9" x14ac:dyDescent="0.25">
      <c r="B211" s="188" t="s">
        <v>45</v>
      </c>
      <c r="H211" s="193">
        <v>500000</v>
      </c>
      <c r="I211" s="184">
        <f>SUM(H211:H211)</f>
        <v>500000</v>
      </c>
    </row>
    <row r="214" spans="2:9" x14ac:dyDescent="0.25">
      <c r="B214" s="190" t="s">
        <v>90</v>
      </c>
    </row>
    <row r="215" spans="2:9" x14ac:dyDescent="0.25">
      <c r="B215" s="188" t="s">
        <v>45</v>
      </c>
      <c r="H215" s="193">
        <v>197890</v>
      </c>
      <c r="I215" s="184">
        <f>SUM(H215:H215)</f>
        <v>197890</v>
      </c>
    </row>
    <row r="217" spans="2:9" x14ac:dyDescent="0.25">
      <c r="B217" s="190" t="s">
        <v>238</v>
      </c>
    </row>
    <row r="218" spans="2:9" x14ac:dyDescent="0.25">
      <c r="B218" s="188" t="s">
        <v>45</v>
      </c>
      <c r="H218" s="184">
        <v>1600000</v>
      </c>
    </row>
    <row r="219" spans="2:9" x14ac:dyDescent="0.25">
      <c r="B219" s="188" t="s">
        <v>363</v>
      </c>
      <c r="H219" s="193"/>
      <c r="I219" s="184">
        <f>SUM(H218:H219)</f>
        <v>1600000</v>
      </c>
    </row>
    <row r="222" spans="2:9" x14ac:dyDescent="0.25">
      <c r="B222" s="190" t="s">
        <v>306</v>
      </c>
    </row>
    <row r="223" spans="2:9" x14ac:dyDescent="0.25">
      <c r="B223" s="188" t="s">
        <v>45</v>
      </c>
      <c r="H223" s="193">
        <v>220000</v>
      </c>
      <c r="I223" s="184">
        <f>H223</f>
        <v>220000</v>
      </c>
    </row>
    <row r="225" spans="2:9" hidden="1" x14ac:dyDescent="0.25">
      <c r="B225" s="190" t="s">
        <v>319</v>
      </c>
    </row>
    <row r="226" spans="2:9" hidden="1" x14ac:dyDescent="0.25">
      <c r="B226" s="188" t="s">
        <v>45</v>
      </c>
      <c r="H226" s="184">
        <v>0</v>
      </c>
      <c r="I226" s="184">
        <v>0</v>
      </c>
    </row>
    <row r="227" spans="2:9" hidden="1" x14ac:dyDescent="0.25"/>
    <row r="228" spans="2:9" x14ac:dyDescent="0.25">
      <c r="B228" s="190" t="s">
        <v>320</v>
      </c>
    </row>
    <row r="229" spans="2:9" x14ac:dyDescent="0.25">
      <c r="B229" s="188" t="s">
        <v>45</v>
      </c>
      <c r="H229" s="193">
        <v>200000</v>
      </c>
      <c r="I229" s="184">
        <v>200000</v>
      </c>
    </row>
    <row r="230" spans="2:9" x14ac:dyDescent="0.25">
      <c r="H230" s="195"/>
    </row>
    <row r="231" spans="2:9" x14ac:dyDescent="0.25">
      <c r="B231" s="190" t="s">
        <v>488</v>
      </c>
    </row>
    <row r="232" spans="2:9" x14ac:dyDescent="0.25">
      <c r="B232" s="188" t="s">
        <v>45</v>
      </c>
      <c r="H232" s="193">
        <v>500000</v>
      </c>
      <c r="I232" s="184">
        <f>H232</f>
        <v>500000</v>
      </c>
    </row>
    <row r="233" spans="2:9" x14ac:dyDescent="0.25">
      <c r="H233" s="195"/>
    </row>
    <row r="234" spans="2:9" x14ac:dyDescent="0.25">
      <c r="B234" s="190" t="s">
        <v>503</v>
      </c>
    </row>
    <row r="235" spans="2:9" x14ac:dyDescent="0.25">
      <c r="B235" s="188" t="s">
        <v>45</v>
      </c>
      <c r="H235" s="193">
        <v>200000</v>
      </c>
      <c r="I235" s="184">
        <f>H235</f>
        <v>200000</v>
      </c>
    </row>
    <row r="236" spans="2:9" x14ac:dyDescent="0.25">
      <c r="H236" s="195"/>
    </row>
    <row r="237" spans="2:9" x14ac:dyDescent="0.25">
      <c r="H237" s="195"/>
    </row>
    <row r="238" spans="2:9" x14ac:dyDescent="0.25">
      <c r="B238" s="190" t="s">
        <v>582</v>
      </c>
      <c r="C238" s="190"/>
      <c r="D238" s="190"/>
      <c r="E238" s="190"/>
      <c r="F238" s="190"/>
      <c r="H238" s="195"/>
    </row>
    <row r="239" spans="2:9" x14ac:dyDescent="0.25">
      <c r="B239" s="188" t="s">
        <v>45</v>
      </c>
      <c r="H239" s="193">
        <v>200000</v>
      </c>
      <c r="I239" s="193">
        <v>200000</v>
      </c>
    </row>
    <row r="240" spans="2:9" x14ac:dyDescent="0.25">
      <c r="H240" s="195"/>
    </row>
    <row r="241" spans="2:9" x14ac:dyDescent="0.25">
      <c r="B241" s="190" t="s">
        <v>583</v>
      </c>
      <c r="H241" s="195"/>
    </row>
    <row r="242" spans="2:9" x14ac:dyDescent="0.25">
      <c r="B242" s="188" t="s">
        <v>45</v>
      </c>
      <c r="H242" s="193">
        <v>500000</v>
      </c>
      <c r="I242" s="193">
        <v>500000</v>
      </c>
    </row>
    <row r="243" spans="2:9" x14ac:dyDescent="0.25">
      <c r="H243" s="195"/>
      <c r="I243" s="195"/>
    </row>
    <row r="244" spans="2:9" x14ac:dyDescent="0.25">
      <c r="B244" s="190" t="s">
        <v>617</v>
      </c>
      <c r="H244" s="188"/>
      <c r="I244" s="188"/>
    </row>
    <row r="245" spans="2:9" x14ac:dyDescent="0.25">
      <c r="B245" s="188" t="s">
        <v>45</v>
      </c>
      <c r="H245" s="184">
        <v>3194147</v>
      </c>
      <c r="I245" s="184">
        <f>H245</f>
        <v>3194147</v>
      </c>
    </row>
    <row r="246" spans="2:9" x14ac:dyDescent="0.25">
      <c r="H246" s="200"/>
      <c r="I246" s="200"/>
    </row>
    <row r="247" spans="2:9" x14ac:dyDescent="0.25">
      <c r="B247" s="190" t="s">
        <v>618</v>
      </c>
    </row>
    <row r="248" spans="2:9" x14ac:dyDescent="0.25">
      <c r="B248" s="188" t="s">
        <v>45</v>
      </c>
      <c r="H248" s="184">
        <v>3000000</v>
      </c>
      <c r="I248" s="184">
        <f>H248</f>
        <v>3000000</v>
      </c>
    </row>
    <row r="249" spans="2:9" x14ac:dyDescent="0.25">
      <c r="H249" s="200"/>
      <c r="I249" s="200"/>
    </row>
    <row r="250" spans="2:9" x14ac:dyDescent="0.25">
      <c r="B250" s="190" t="s">
        <v>622</v>
      </c>
    </row>
    <row r="251" spans="2:9" x14ac:dyDescent="0.25">
      <c r="B251" s="188" t="s">
        <v>45</v>
      </c>
      <c r="H251" s="184">
        <v>500000</v>
      </c>
      <c r="I251" s="184">
        <f>H251</f>
        <v>500000</v>
      </c>
    </row>
    <row r="253" spans="2:9" x14ac:dyDescent="0.25">
      <c r="B253" s="190" t="s">
        <v>619</v>
      </c>
      <c r="H253" s="195"/>
      <c r="I253" s="195"/>
    </row>
    <row r="254" spans="2:9" x14ac:dyDescent="0.25">
      <c r="B254" s="188" t="s">
        <v>45</v>
      </c>
      <c r="H254" s="184">
        <v>1200000</v>
      </c>
      <c r="I254" s="184">
        <f>H254</f>
        <v>1200000</v>
      </c>
    </row>
    <row r="255" spans="2:9" x14ac:dyDescent="0.25">
      <c r="H255" s="200"/>
      <c r="I255" s="200"/>
    </row>
    <row r="256" spans="2:9" ht="16.5" thickBot="1" x14ac:dyDescent="0.3">
      <c r="H256" s="195"/>
      <c r="I256" s="195"/>
    </row>
    <row r="257" spans="1:11" ht="16.5" thickBot="1" x14ac:dyDescent="0.3">
      <c r="A257" s="269" t="s">
        <v>192</v>
      </c>
      <c r="B257" s="269"/>
      <c r="C257" s="269"/>
      <c r="D257" s="269"/>
      <c r="E257" s="269"/>
      <c r="F257" s="269"/>
      <c r="G257" s="269"/>
      <c r="H257" s="269"/>
      <c r="I257" s="198">
        <f>SUM(I35:I256)</f>
        <v>24343257</v>
      </c>
    </row>
    <row r="258" spans="1:11" ht="16.5" thickBot="1" x14ac:dyDescent="0.3">
      <c r="A258" s="201"/>
      <c r="B258" s="201"/>
      <c r="C258" s="201"/>
      <c r="D258" s="201"/>
      <c r="E258" s="201"/>
      <c r="F258" s="201"/>
      <c r="G258" s="201"/>
      <c r="H258" s="202"/>
      <c r="I258" s="202"/>
    </row>
    <row r="259" spans="1:11" ht="16.5" thickBot="1" x14ac:dyDescent="0.3">
      <c r="A259" s="269" t="s">
        <v>142</v>
      </c>
      <c r="B259" s="269"/>
      <c r="C259" s="269"/>
      <c r="D259" s="269"/>
      <c r="E259" s="269"/>
      <c r="F259" s="269"/>
      <c r="G259" s="269"/>
      <c r="H259" s="269"/>
      <c r="I259" s="198">
        <f>I31+I257</f>
        <v>53076772</v>
      </c>
      <c r="K259" s="188">
        <f>K228</f>
        <v>0</v>
      </c>
    </row>
    <row r="299" spans="5:9" x14ac:dyDescent="0.25">
      <c r="H299" s="184" t="s">
        <v>332</v>
      </c>
    </row>
    <row r="300" spans="5:9" x14ac:dyDescent="0.25">
      <c r="H300" s="184" t="s">
        <v>333</v>
      </c>
    </row>
    <row r="301" spans="5:9" x14ac:dyDescent="0.25">
      <c r="E301" s="188" t="s">
        <v>501</v>
      </c>
      <c r="I301" s="184">
        <f>47319222+4000000+95000</f>
        <v>51414222</v>
      </c>
    </row>
    <row r="302" spans="5:9" x14ac:dyDescent="0.25">
      <c r="H302" s="184" t="s">
        <v>497</v>
      </c>
      <c r="I302" s="184">
        <f>I259-I301</f>
        <v>1662550</v>
      </c>
    </row>
    <row r="303" spans="5:9" x14ac:dyDescent="0.25">
      <c r="H303" s="184" t="s">
        <v>498</v>
      </c>
      <c r="I303" s="184">
        <f>4000000</f>
        <v>4000000</v>
      </c>
    </row>
    <row r="304" spans="5:9" x14ac:dyDescent="0.25">
      <c r="H304" s="184" t="s">
        <v>499</v>
      </c>
      <c r="I304" s="184">
        <f>95000</f>
        <v>95000</v>
      </c>
    </row>
    <row r="305" spans="8:9" x14ac:dyDescent="0.25">
      <c r="H305" s="184" t="s">
        <v>500</v>
      </c>
      <c r="I305" s="184">
        <f>I302+I303+I304</f>
        <v>5757550</v>
      </c>
    </row>
  </sheetData>
  <mergeCells count="3">
    <mergeCell ref="A31:H31"/>
    <mergeCell ref="A257:H257"/>
    <mergeCell ref="A259:H259"/>
  </mergeCells>
  <phoneticPr fontId="2" type="noConversion"/>
  <printOptions horizontalCentered="1"/>
  <pageMargins left="0.17" right="0.24" top="0.66" bottom="0.74" header="0.5" footer="0.5"/>
  <pageSetup paperSize="9" scale="60" orientation="portrait" r:id="rId1"/>
  <headerFooter alignWithMargins="0">
    <oddFooter>Page &amp;P</oddFooter>
  </headerFooter>
  <rowBreaks count="4" manualBreakCount="4">
    <brk id="69" max="8" man="1"/>
    <brk id="118" max="16383" man="1"/>
    <brk id="173" max="16383" man="1"/>
    <brk id="256"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13</vt:i4>
      </vt:variant>
    </vt:vector>
  </HeadingPairs>
  <TitlesOfParts>
    <vt:vector size="30" baseType="lpstr">
      <vt:lpstr>Auditor's Report</vt:lpstr>
      <vt:lpstr>sch ix c</vt:lpstr>
      <vt:lpstr>Sch A</vt:lpstr>
      <vt:lpstr>ix c</vt:lpstr>
      <vt:lpstr>BalanceSheet</vt:lpstr>
      <vt:lpstr>A SCh</vt:lpstr>
      <vt:lpstr>schhA</vt:lpstr>
      <vt:lpstr>Sch B </vt:lpstr>
      <vt:lpstr>Sch C</vt:lpstr>
      <vt:lpstr>Sch D</vt:lpstr>
      <vt:lpstr>Sch E,F</vt:lpstr>
      <vt:lpstr>notes</vt:lpstr>
      <vt:lpstr>ratio</vt:lpstr>
      <vt:lpstr>Sheet2</vt:lpstr>
      <vt:lpstr>MOGS NOTES</vt:lpstr>
      <vt:lpstr>int detail</vt:lpstr>
      <vt:lpstr>Sheet1</vt:lpstr>
      <vt:lpstr>'A SCh'!Print_Area</vt:lpstr>
      <vt:lpstr>'Auditor''s Report'!Print_Area</vt:lpstr>
      <vt:lpstr>BalanceSheet!Print_Area</vt:lpstr>
      <vt:lpstr>'int detail'!Print_Area</vt:lpstr>
      <vt:lpstr>'ix c'!Print_Area</vt:lpstr>
      <vt:lpstr>'MOGS NOTES'!Print_Area</vt:lpstr>
      <vt:lpstr>'Sch A'!Print_Area</vt:lpstr>
      <vt:lpstr>'Sch B '!Print_Area</vt:lpstr>
      <vt:lpstr>'Sch C'!Print_Area</vt:lpstr>
      <vt:lpstr>'Sch E,F'!Print_Area</vt:lpstr>
      <vt:lpstr>'sch ix c'!Print_Area</vt:lpstr>
      <vt:lpstr>schhA!Print_Area</vt:lpstr>
      <vt:lpstr>'Sch A'!Print_Titles</vt:lpstr>
    </vt:vector>
  </TitlesOfParts>
  <Manager>JAYESH YADAV</Manager>
  <Company>H.P.BHALEKAR &amp; ASSOCIATES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MOGS</dc:title>
  <dc:subject>BALANCE SHEET AS AT 31-3-2006</dc:subject>
  <dc:creator>H.P.BHALEKAR</dc:creator>
  <cp:lastModifiedBy>Hemant Bhalekar</cp:lastModifiedBy>
  <cp:lastPrinted>2023-09-29T13:06:36Z</cp:lastPrinted>
  <dcterms:created xsi:type="dcterms:W3CDTF">2003-06-26T08:27:57Z</dcterms:created>
  <dcterms:modified xsi:type="dcterms:W3CDTF">2024-08-31T11:25:28Z</dcterms:modified>
</cp:coreProperties>
</file>